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U_List" sheetId="1" state="visible" r:id="rId3"/>
    <sheet name="Toast_Revenue" sheetId="2" state="visible" r:id="rId4"/>
    <sheet name="Revenue_Distribu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<sst xmlns="http://schemas.openxmlformats.org/spreadsheetml/2006/main" count="499" uniqueCount="254">
  <si>
    <t xml:space="preserve">Harbourside Café — SKU &amp; Cost List</t>
  </si>
  <si>
    <t xml:space="preserve">Ingredient costs, unit measurements, and usage ratios per menu item  |  March 2024</t>
  </si>
  <si>
    <t xml:space="preserve">SKU</t>
  </si>
  <si>
    <t xml:space="preserve">Item Name</t>
  </si>
  <si>
    <t xml:space="preserve">Unit Cost ($)</t>
  </si>
  <si>
    <t xml:space="preserve">Category</t>
  </si>
  <si>
    <t xml:space="preserve">Meas. per Unit</t>
  </si>
  <si>
    <t xml:space="preserve">Units Used / Item</t>
  </si>
  <si>
    <t xml:space="preserve">Unit Type</t>
  </si>
  <si>
    <t xml:space="preserve">PRME-001</t>
  </si>
  <si>
    <t xml:space="preserve">Prime Blend Espresso</t>
  </si>
  <si>
    <t xml:space="preserve">Coffee / Base</t>
  </si>
  <si>
    <t xml:space="preserve">g</t>
  </si>
  <si>
    <t xml:space="preserve">DRKE-001</t>
  </si>
  <si>
    <t xml:space="preserve">Dark Roast Espresso</t>
  </si>
  <si>
    <t xml:space="preserve">DCAF-001</t>
  </si>
  <si>
    <t xml:space="preserve">Decaf Blend</t>
  </si>
  <si>
    <t xml:space="preserve">COLD-001</t>
  </si>
  <si>
    <t xml:space="preserve">Cold Brew Concentrate</t>
  </si>
  <si>
    <t xml:space="preserve">WM-001</t>
  </si>
  <si>
    <t xml:space="preserve">Whole Milk</t>
  </si>
  <si>
    <t xml:space="preserve">Beverage / Milks</t>
  </si>
  <si>
    <t xml:space="preserve">gal</t>
  </si>
  <si>
    <t xml:space="preserve">OM-001</t>
  </si>
  <si>
    <t xml:space="preserve">Oat Milk</t>
  </si>
  <si>
    <t xml:space="preserve">oz</t>
  </si>
  <si>
    <t xml:space="preserve">ALM-001</t>
  </si>
  <si>
    <t xml:space="preserve">Almond Milk</t>
  </si>
  <si>
    <t xml:space="preserve">WC-001</t>
  </si>
  <si>
    <t xml:space="preserve">Whipped Cream</t>
  </si>
  <si>
    <t xml:space="preserve">HNH-001</t>
  </si>
  <si>
    <t xml:space="preserve">Half &amp; Half</t>
  </si>
  <si>
    <t xml:space="preserve">HC-001</t>
  </si>
  <si>
    <t xml:space="preserve">Heavy Cream</t>
  </si>
  <si>
    <t xml:space="preserve">CH-001</t>
  </si>
  <si>
    <t xml:space="preserve">Masala Chai</t>
  </si>
  <si>
    <t xml:space="preserve">Tea / Specialty</t>
  </si>
  <si>
    <t xml:space="preserve">ml</t>
  </si>
  <si>
    <t xml:space="preserve">HMP-001</t>
  </si>
  <si>
    <t xml:space="preserve">Hemp Milk</t>
  </si>
  <si>
    <t xml:space="preserve">MATCH-001</t>
  </si>
  <si>
    <t xml:space="preserve">Matcha Powder</t>
  </si>
  <si>
    <t xml:space="preserve">EGT-001</t>
  </si>
  <si>
    <t xml:space="preserve">Earl Grey</t>
  </si>
  <si>
    <t xml:space="preserve">HIT-001</t>
  </si>
  <si>
    <t xml:space="preserve">Hibiscus</t>
  </si>
  <si>
    <t xml:space="preserve">BLT-001</t>
  </si>
  <si>
    <t xml:space="preserve">Black Tea</t>
  </si>
  <si>
    <t xml:space="preserve">GNGR-001</t>
  </si>
  <si>
    <t xml:space="preserve">Ginger Kombucha</t>
  </si>
  <si>
    <t xml:space="preserve">Beverage / Soda</t>
  </si>
  <si>
    <t xml:space="preserve">PHSODA-001</t>
  </si>
  <si>
    <t xml:space="preserve">Pineapple Sparkling</t>
  </si>
  <si>
    <t xml:space="preserve">each</t>
  </si>
  <si>
    <t xml:space="preserve">LCSODA-001</t>
  </si>
  <si>
    <t xml:space="preserve">Lychee Citrus Sparkling</t>
  </si>
  <si>
    <t xml:space="preserve">MGSODA-001</t>
  </si>
  <si>
    <t xml:space="preserve">Mango Sparkling</t>
  </si>
  <si>
    <t xml:space="preserve">CSODA-001</t>
  </si>
  <si>
    <t xml:space="preserve">Club Soda</t>
  </si>
  <si>
    <t xml:space="preserve">RB-001</t>
  </si>
  <si>
    <t xml:space="preserve">Energy Drink</t>
  </si>
  <si>
    <t xml:space="preserve">Beverage / Energy</t>
  </si>
  <si>
    <t xml:space="preserve">SMC-001</t>
  </si>
  <si>
    <t xml:space="preserve">Smoothie Cream Base</t>
  </si>
  <si>
    <t xml:space="preserve">Beverage / Smoothie</t>
  </si>
  <si>
    <t xml:space="preserve">lb</t>
  </si>
  <si>
    <t xml:space="preserve">LMP-001</t>
  </si>
  <si>
    <t xml:space="preserve">Lemonade Powder</t>
  </si>
  <si>
    <t xml:space="preserve">SS-001</t>
  </si>
  <si>
    <t xml:space="preserve">Strawberry Syrup</t>
  </si>
  <si>
    <t xml:space="preserve">Syrups / Sweeteners</t>
  </si>
  <si>
    <t xml:space="preserve">CCS-001</t>
  </si>
  <si>
    <t xml:space="preserve">Coconut Syrup</t>
  </si>
  <si>
    <t xml:space="preserve">DFS-001</t>
  </si>
  <si>
    <t xml:space="preserve">Dragon Fruit Syrup</t>
  </si>
  <si>
    <t xml:space="preserve">CAR-001</t>
  </si>
  <si>
    <t xml:space="preserve">Caramel Sauce</t>
  </si>
  <si>
    <t xml:space="preserve">CHO-001</t>
  </si>
  <si>
    <t xml:space="preserve">Chocolate Sauce</t>
  </si>
  <si>
    <t xml:space="preserve">PFS-001</t>
  </si>
  <si>
    <t xml:space="preserve">Passion Fruit Syrup</t>
  </si>
  <si>
    <t xml:space="preserve">VANF-001</t>
  </si>
  <si>
    <t xml:space="preserve">SF Vanilla Syrup</t>
  </si>
  <si>
    <t xml:space="preserve">BOS-001</t>
  </si>
  <si>
    <t xml:space="preserve">Blood Orange Syrup</t>
  </si>
  <si>
    <t xml:space="preserve">GS-001</t>
  </si>
  <si>
    <t xml:space="preserve">Guava Syrup</t>
  </si>
  <si>
    <t xml:space="preserve">HNY-001</t>
  </si>
  <si>
    <t xml:space="preserve">Raw Honey</t>
  </si>
  <si>
    <t xml:space="preserve">VHS-001</t>
  </si>
  <si>
    <t xml:space="preserve">Vanilla Housemade</t>
  </si>
  <si>
    <t xml:space="preserve">BSC-001</t>
  </si>
  <si>
    <t xml:space="preserve">Brown Sugar Cinn. HM</t>
  </si>
  <si>
    <t xml:space="preserve">LVH-001</t>
  </si>
  <si>
    <t xml:space="preserve">Lavender Housemade</t>
  </si>
  <si>
    <t xml:space="preserve">RBH-001</t>
  </si>
  <si>
    <t xml:space="preserve">Raspberry Housemade</t>
  </si>
  <si>
    <t xml:space="preserve">BLH-001</t>
  </si>
  <si>
    <t xml:space="preserve">Blueberry Housemade</t>
  </si>
  <si>
    <t xml:space="preserve">PBS-001</t>
  </si>
  <si>
    <t xml:space="preserve">Navy Bean Soup</t>
  </si>
  <si>
    <t xml:space="preserve">Soup / Savory</t>
  </si>
  <si>
    <t xml:space="preserve">TBS-001</t>
  </si>
  <si>
    <t xml:space="preserve">Tomato Bisque</t>
  </si>
  <si>
    <t xml:space="preserve">Seafood Chowder</t>
  </si>
  <si>
    <t xml:space="preserve">CROS-001</t>
  </si>
  <si>
    <t xml:space="preserve">Butter Croissant</t>
  </si>
  <si>
    <t xml:space="preserve">Bakery / Pastry</t>
  </si>
  <si>
    <t xml:space="preserve">BREM-001</t>
  </si>
  <si>
    <t xml:space="preserve">Breakfast Empanada</t>
  </si>
  <si>
    <t xml:space="preserve">BEEM-001</t>
  </si>
  <si>
    <t xml:space="preserve">Beef Empanada</t>
  </si>
  <si>
    <t xml:space="preserve">CTEM-001</t>
  </si>
  <si>
    <t xml:space="preserve">Chicken Tikka Empanada</t>
  </si>
  <si>
    <t xml:space="preserve">EGGS-001</t>
  </si>
  <si>
    <t xml:space="preserve">Eggs</t>
  </si>
  <si>
    <t xml:space="preserve">Protein / Eggs</t>
  </si>
  <si>
    <t xml:space="preserve">YST-001</t>
  </si>
  <si>
    <t xml:space="preserve">Yeast</t>
  </si>
  <si>
    <t xml:space="preserve">Baking / Dry Goods</t>
  </si>
  <si>
    <t xml:space="preserve">PKN-001</t>
  </si>
  <si>
    <t xml:space="preserve">Pumpkin Puree</t>
  </si>
  <si>
    <t xml:space="preserve">BUTT-001</t>
  </si>
  <si>
    <t xml:space="preserve">Butter</t>
  </si>
  <si>
    <t xml:space="preserve">Dairy / Dairy Products</t>
  </si>
  <si>
    <t xml:space="preserve">MOZZ-001</t>
  </si>
  <si>
    <t xml:space="preserve">Mozzarella Whole</t>
  </si>
  <si>
    <t xml:space="preserve">GC-001</t>
  </si>
  <si>
    <t xml:space="preserve">Goat Cheese</t>
  </si>
  <si>
    <t xml:space="preserve">SWS-001</t>
  </si>
  <si>
    <t xml:space="preserve">Swiss Cheese</t>
  </si>
  <si>
    <t xml:space="preserve">MJC-001</t>
  </si>
  <si>
    <t xml:space="preserve">Monterey Jack</t>
  </si>
  <si>
    <t xml:space="preserve">BAN-001</t>
  </si>
  <si>
    <t xml:space="preserve">Bananas</t>
  </si>
  <si>
    <t xml:space="preserve">Produce / Fruit</t>
  </si>
  <si>
    <t xml:space="preserve">STRW-001</t>
  </si>
  <si>
    <t xml:space="preserve">Strawberries</t>
  </si>
  <si>
    <t xml:space="preserve">BLB-001</t>
  </si>
  <si>
    <t xml:space="preserve">Blueberries</t>
  </si>
  <si>
    <t xml:space="preserve">TOM-001</t>
  </si>
  <si>
    <t xml:space="preserve">Vine Tomatoes</t>
  </si>
  <si>
    <t xml:space="preserve">Produce / Veggies</t>
  </si>
  <si>
    <t xml:space="preserve">ASPR-001</t>
  </si>
  <si>
    <t xml:space="preserve">Asparagus</t>
  </si>
  <si>
    <t xml:space="preserve">ARUG-001</t>
  </si>
  <si>
    <t xml:space="preserve">Baby Arugula</t>
  </si>
  <si>
    <t xml:space="preserve">BASI-001</t>
  </si>
  <si>
    <t xml:space="preserve">Fresh Basil</t>
  </si>
  <si>
    <t xml:space="preserve">Produce / Herbs</t>
  </si>
  <si>
    <t xml:space="preserve">PCK-001</t>
  </si>
  <si>
    <t xml:space="preserve">Pickles</t>
  </si>
  <si>
    <t xml:space="preserve">HAM-001</t>
  </si>
  <si>
    <t xml:space="preserve">Ham</t>
  </si>
  <si>
    <t xml:space="preserve">Protein / Meat</t>
  </si>
  <si>
    <t xml:space="preserve">SALM-001</t>
  </si>
  <si>
    <t xml:space="preserve">Smoked Salmon</t>
  </si>
  <si>
    <t xml:space="preserve">CHIK-001</t>
  </si>
  <si>
    <t xml:space="preserve">Roasted Chicken</t>
  </si>
  <si>
    <t xml:space="preserve">FCS-001</t>
  </si>
  <si>
    <t xml:space="preserve">Focaccia Bread</t>
  </si>
  <si>
    <t xml:space="preserve">Bakery / Bread</t>
  </si>
  <si>
    <t xml:space="preserve">BGL-001</t>
  </si>
  <si>
    <t xml:space="preserve">Plain Bagel</t>
  </si>
  <si>
    <t xml:space="preserve">CC-001</t>
  </si>
  <si>
    <t xml:space="preserve">Cream Cheese</t>
  </si>
  <si>
    <t xml:space="preserve">CAP-001</t>
  </si>
  <si>
    <t xml:space="preserve">Capers</t>
  </si>
  <si>
    <t xml:space="preserve">Pantry / Dry Goods</t>
  </si>
  <si>
    <t xml:space="preserve">Harbourside Café — Toast POS Revenue Export</t>
  </si>
  <si>
    <t xml:space="preserve">Item-level sales data  |  March 2024  |  Columns G–I are calculated — not from Toast</t>
  </si>
  <si>
    <t xml:space="preserve">Item Type</t>
  </si>
  <si>
    <t xml:space="preserve">Qty Sold</t>
  </si>
  <si>
    <t xml:space="preserve">Total Revenue ($)</t>
  </si>
  <si>
    <t xml:space="preserve">Avg Price ($)</t>
  </si>
  <si>
    <t xml:space="preserve">Est. COGS ($)</t>
  </si>
  <si>
    <t xml:space="preserve">Est. Profit ($)</t>
  </si>
  <si>
    <t xml:space="preserve">Margin (%)</t>
  </si>
  <si>
    <t xml:space="preserve">Morning Latte</t>
  </si>
  <si>
    <t xml:space="preserve">Beverages</t>
  </si>
  <si>
    <t xml:space="preserve">Classic Americano</t>
  </si>
  <si>
    <t xml:space="preserve">Pour Over Coffee of the Day</t>
  </si>
  <si>
    <t xml:space="preserve">Spiced Chai Latte</t>
  </si>
  <si>
    <t xml:space="preserve">Signature Cold Brew</t>
  </si>
  <si>
    <t xml:space="preserve">Matcha Latte</t>
  </si>
  <si>
    <t xml:space="preserve">Lemon Tart Bar</t>
  </si>
  <si>
    <t xml:space="preserve">Pastries and Breads</t>
  </si>
  <si>
    <t xml:space="preserve">Food</t>
  </si>
  <si>
    <t xml:space="preserve">Smoked Salmon Bagel</t>
  </si>
  <si>
    <t xml:space="preserve">Bagels and Waffles</t>
  </si>
  <si>
    <t xml:space="preserve">Lilikoi Lemonade</t>
  </si>
  <si>
    <t xml:space="preserve">Breakfast Bagel Sandwich</t>
  </si>
  <si>
    <t xml:space="preserve">Cappuccino</t>
  </si>
  <si>
    <t xml:space="preserve">Nutella Dream Latte</t>
  </si>
  <si>
    <t xml:space="preserve">Specials</t>
  </si>
  <si>
    <t xml:space="preserve">Island Spice Latte</t>
  </si>
  <si>
    <t xml:space="preserve">Frozen Vanilla Latte</t>
  </si>
  <si>
    <t xml:space="preserve">London Fog Latte</t>
  </si>
  <si>
    <t xml:space="preserve">Tropical Yogurt Bowl</t>
  </si>
  <si>
    <t xml:space="preserve">Yogurt and Salad</t>
  </si>
  <si>
    <t xml:space="preserve">Coconut Cloud Latte</t>
  </si>
  <si>
    <t xml:space="preserve">Cold Brew Tonic</t>
  </si>
  <si>
    <t xml:space="preserve">Naked Bagel</t>
  </si>
  <si>
    <t xml:space="preserve">Cortado</t>
  </si>
  <si>
    <t xml:space="preserve">Cubano Sandwich</t>
  </si>
  <si>
    <t xml:space="preserve">Sandwiches</t>
  </si>
  <si>
    <t xml:space="preserve">Espresso</t>
  </si>
  <si>
    <t xml:space="preserve">Roasted Chicken Sandwich</t>
  </si>
  <si>
    <t xml:space="preserve">Strawberry Hibiscus Latte</t>
  </si>
  <si>
    <t xml:space="preserve">Iced Herbal Tea</t>
  </si>
  <si>
    <t xml:space="preserve">Arnold Palmer</t>
  </si>
  <si>
    <t xml:space="preserve">Ham &amp; Cheese Croissant</t>
  </si>
  <si>
    <t xml:space="preserve">Specialties</t>
  </si>
  <si>
    <t xml:space="preserve">Caprese Sandwich</t>
  </si>
  <si>
    <t xml:space="preserve">Charged Lemonade</t>
  </si>
  <si>
    <t xml:space="preserve">Hot Tea</t>
  </si>
  <si>
    <t xml:space="preserve">Soups</t>
  </si>
  <si>
    <t xml:space="preserve">Dragon Fruit Refresher</t>
  </si>
  <si>
    <t xml:space="preserve">Decaf Pour Over</t>
  </si>
  <si>
    <t xml:space="preserve">Three Cheese Grilled</t>
  </si>
  <si>
    <t xml:space="preserve">Mango Refresher Soda</t>
  </si>
  <si>
    <t xml:space="preserve">Bruschetta Toast</t>
  </si>
  <si>
    <t xml:space="preserve">Toasts</t>
  </si>
  <si>
    <t xml:space="preserve">Italian Sparkling Soda</t>
  </si>
  <si>
    <t xml:space="preserve">Pumpkin Bread Slice</t>
  </si>
  <si>
    <t xml:space="preserve">Belgian Waffle</t>
  </si>
  <si>
    <t xml:space="preserve">Chocolate Croissant</t>
  </si>
  <si>
    <t xml:space="preserve">Chocolate Chip Cookie</t>
  </si>
  <si>
    <t xml:space="preserve">Empanada By The Piece</t>
  </si>
  <si>
    <t xml:space="preserve">Empanadas</t>
  </si>
  <si>
    <t xml:space="preserve">Hot Chocolate</t>
  </si>
  <si>
    <t xml:space="preserve">Asparagus Goat Cheese Toast</t>
  </si>
  <si>
    <t xml:space="preserve">Sparkling Hawaiian Soda</t>
  </si>
  <si>
    <t xml:space="preserve">Focaccia Slice</t>
  </si>
  <si>
    <t xml:space="preserve">Caprese Salad</t>
  </si>
  <si>
    <t xml:space="preserve">Mushroom Empanada</t>
  </si>
  <si>
    <t xml:space="preserve">Street Waffle</t>
  </si>
  <si>
    <t xml:space="preserve">Pepperoni Pizza Bagel</t>
  </si>
  <si>
    <t xml:space="preserve">Dulce de Leche Latte</t>
  </si>
  <si>
    <t xml:space="preserve">Margherita Pizza Bagel</t>
  </si>
  <si>
    <t xml:space="preserve">Cheese Pizza Bagel</t>
  </si>
  <si>
    <t xml:space="preserve">Hot Water</t>
  </si>
  <si>
    <t xml:space="preserve">Open Drink</t>
  </si>
  <si>
    <t xml:space="preserve">No Menu</t>
  </si>
  <si>
    <t xml:space="preserve">GRAND TOTAL</t>
  </si>
  <si>
    <t xml:space="preserve">⚙ COGS Rate Assumptions (edit here to update all COGS)</t>
  </si>
  <si>
    <t xml:space="preserve">Beverage COGS Rate</t>
  </si>
  <si>
    <t xml:space="preserve">Food COGS Rate</t>
  </si>
  <si>
    <t xml:space="preserve">No Menu COGS Rate</t>
  </si>
  <si>
    <t xml:space="preserve">Harbourside Café — Revenue Distribution by Category</t>
  </si>
  <si>
    <t xml:space="preserve">SUMIF-based pivot from Toast_Revenue sheet  |  March 2024</t>
  </si>
  <si>
    <t xml:space="preserve">% of Total Revenue</t>
  </si>
  <si>
    <t xml:space="preserve">Total Profit ($)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</si>
</sst>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#,##0.00"/>
    <numFmt numFmtId="167" formatCode="0.00000"/>
    <numFmt numFmtId="168" formatCode="0.0%"/>
    <numFmt numFmtId="169" formatCode="#,##0"/>
    <numFmt numFmtId="170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CCCC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222222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64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1A2E"/>
        <bgColor rgb="FF222222"/>
      </patternFill>
    </fill>
    <fill>
      <patternFill patternType="solid">
        <fgColor rgb="FFE94560"/>
        <bgColor rgb="FF993366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FFF9C4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F7F7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1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16.5" hidden="false" customHeight="true" outlineLevel="0" collapsed="false">
      <c r="A4" s="4" t="s">
        <v>9</v>
      </c>
      <c r="B4" s="5" t="s">
        <v>10</v>
      </c>
      <c r="C4" s="6" t="n">
        <v>120</v>
      </c>
      <c r="D4" s="5" t="s">
        <v>11</v>
      </c>
      <c r="E4" s="7" t="n">
        <v>4600</v>
      </c>
      <c r="F4" s="8" t="n">
        <f aca="false">19/4600</f>
        <v>0.0041304347826087</v>
      </c>
      <c r="G4" s="9" t="s">
        <v>12</v>
      </c>
    </row>
    <row r="5" customFormat="false" ht="16.5" hidden="false" customHeight="true" outlineLevel="0" collapsed="false">
      <c r="A5" s="10" t="s">
        <v>13</v>
      </c>
      <c r="B5" s="11" t="s">
        <v>14</v>
      </c>
      <c r="C5" s="12" t="n">
        <f aca="false">120</f>
        <v>120</v>
      </c>
      <c r="D5" s="11" t="s">
        <v>11</v>
      </c>
      <c r="E5" s="13" t="n">
        <v>4600</v>
      </c>
      <c r="F5" s="14" t="n">
        <f aca="false">19/4600</f>
        <v>0.0041304347826087</v>
      </c>
      <c r="G5" s="15" t="s">
        <v>12</v>
      </c>
    </row>
    <row r="6" customFormat="false" ht="16.5" hidden="false" customHeight="true" outlineLevel="0" collapsed="false">
      <c r="A6" s="4" t="s">
        <v>15</v>
      </c>
      <c r="B6" s="5" t="s">
        <v>16</v>
      </c>
      <c r="C6" s="6" t="n">
        <v>17</v>
      </c>
      <c r="D6" s="5" t="s">
        <v>11</v>
      </c>
      <c r="E6" s="7" t="n">
        <v>470</v>
      </c>
      <c r="F6" s="8" t="n">
        <f aca="false">20/470</f>
        <v>0.0425531914893617</v>
      </c>
      <c r="G6" s="9" t="s">
        <v>12</v>
      </c>
    </row>
    <row r="7" customFormat="false" ht="16.5" hidden="false" customHeight="true" outlineLevel="0" collapsed="false">
      <c r="A7" s="10" t="s">
        <v>17</v>
      </c>
      <c r="B7" s="11" t="s">
        <v>18</v>
      </c>
      <c r="C7" s="12" t="n">
        <f aca="false">120</f>
        <v>120</v>
      </c>
      <c r="D7" s="11" t="s">
        <v>11</v>
      </c>
      <c r="E7" s="13" t="n">
        <v>2300</v>
      </c>
      <c r="F7" s="14" t="n">
        <f aca="false">57/2300</f>
        <v>0.0247826086956522</v>
      </c>
      <c r="G7" s="15" t="s">
        <v>12</v>
      </c>
    </row>
    <row r="8" customFormat="false" ht="16.5" hidden="false" customHeight="true" outlineLevel="0" collapsed="false">
      <c r="A8" s="4" t="s">
        <v>19</v>
      </c>
      <c r="B8" s="5" t="s">
        <v>20</v>
      </c>
      <c r="C8" s="16" t="n">
        <f aca="false">29.5/5</f>
        <v>5.9</v>
      </c>
      <c r="D8" s="5" t="s">
        <v>21</v>
      </c>
      <c r="E8" s="7" t="n">
        <v>1</v>
      </c>
      <c r="F8" s="17" t="n">
        <v>0.09375</v>
      </c>
      <c r="G8" s="9" t="s">
        <v>22</v>
      </c>
    </row>
    <row r="9" customFormat="false" ht="16.5" hidden="false" customHeight="true" outlineLevel="0" collapsed="false">
      <c r="A9" s="10" t="s">
        <v>23</v>
      </c>
      <c r="B9" s="11" t="s">
        <v>24</v>
      </c>
      <c r="C9" s="12" t="n">
        <f aca="false">10.5/6</f>
        <v>1.75</v>
      </c>
      <c r="D9" s="11" t="s">
        <v>21</v>
      </c>
      <c r="E9" s="13" t="n">
        <v>32</v>
      </c>
      <c r="F9" s="14" t="n">
        <f aca="false">12/32</f>
        <v>0.375</v>
      </c>
      <c r="G9" s="15" t="s">
        <v>25</v>
      </c>
    </row>
    <row r="10" customFormat="false" ht="16.5" hidden="false" customHeight="true" outlineLevel="0" collapsed="false">
      <c r="A10" s="4" t="s">
        <v>26</v>
      </c>
      <c r="B10" s="5" t="s">
        <v>27</v>
      </c>
      <c r="C10" s="16" t="n">
        <f aca="false">15.7/12</f>
        <v>1.30833333333333</v>
      </c>
      <c r="D10" s="5" t="s">
        <v>21</v>
      </c>
      <c r="E10" s="7" t="n">
        <v>32</v>
      </c>
      <c r="F10" s="8" t="n">
        <f aca="false">12/32</f>
        <v>0.375</v>
      </c>
      <c r="G10" s="9" t="s">
        <v>25</v>
      </c>
    </row>
    <row r="11" customFormat="false" ht="16.5" hidden="false" customHeight="true" outlineLevel="0" collapsed="false">
      <c r="A11" s="10" t="s">
        <v>28</v>
      </c>
      <c r="B11" s="11" t="s">
        <v>29</v>
      </c>
      <c r="C11" s="12" t="n">
        <f aca="false">9.99/3</f>
        <v>3.33</v>
      </c>
      <c r="D11" s="11" t="s">
        <v>21</v>
      </c>
      <c r="E11" s="13" t="n">
        <v>6.5</v>
      </c>
      <c r="F11" s="14" t="n">
        <f aca="false">0.25/6.5</f>
        <v>0.0384615384615385</v>
      </c>
      <c r="G11" s="15" t="s">
        <v>25</v>
      </c>
    </row>
    <row r="12" customFormat="false" ht="16.5" hidden="false" customHeight="true" outlineLevel="0" collapsed="false">
      <c r="A12" s="4" t="s">
        <v>30</v>
      </c>
      <c r="B12" s="5" t="s">
        <v>31</v>
      </c>
      <c r="C12" s="6" t="n">
        <v>8.5</v>
      </c>
      <c r="D12" s="5" t="s">
        <v>21</v>
      </c>
      <c r="E12" s="7" t="n">
        <v>32</v>
      </c>
      <c r="F12" s="8" t="n">
        <f aca="false">12/32</f>
        <v>0.375</v>
      </c>
      <c r="G12" s="9" t="s">
        <v>25</v>
      </c>
    </row>
    <row r="13" customFormat="false" ht="16.5" hidden="false" customHeight="true" outlineLevel="0" collapsed="false">
      <c r="A13" s="10" t="s">
        <v>32</v>
      </c>
      <c r="B13" s="11" t="s">
        <v>33</v>
      </c>
      <c r="C13" s="18" t="n">
        <v>16.5</v>
      </c>
      <c r="D13" s="11" t="s">
        <v>21</v>
      </c>
      <c r="E13" s="13" t="n">
        <v>32</v>
      </c>
      <c r="F13" s="14" t="n">
        <f aca="false">3/32</f>
        <v>0.09375</v>
      </c>
      <c r="G13" s="15" t="s">
        <v>25</v>
      </c>
    </row>
    <row r="14" customFormat="false" ht="16.5" hidden="false" customHeight="true" outlineLevel="0" collapsed="false">
      <c r="A14" s="4" t="s">
        <v>34</v>
      </c>
      <c r="B14" s="5" t="s">
        <v>35</v>
      </c>
      <c r="C14" s="6" t="n">
        <v>28</v>
      </c>
      <c r="D14" s="5" t="s">
        <v>36</v>
      </c>
      <c r="E14" s="7" t="n">
        <v>200</v>
      </c>
      <c r="F14" s="8" t="n">
        <f aca="false">30/200</f>
        <v>0.15</v>
      </c>
      <c r="G14" s="9" t="s">
        <v>37</v>
      </c>
    </row>
    <row r="15" customFormat="false" ht="16.5" hidden="false" customHeight="true" outlineLevel="0" collapsed="false">
      <c r="A15" s="10" t="s">
        <v>38</v>
      </c>
      <c r="B15" s="11" t="s">
        <v>39</v>
      </c>
      <c r="C15" s="12" t="n">
        <f aca="false">45/12</f>
        <v>3.75</v>
      </c>
      <c r="D15" s="11" t="s">
        <v>36</v>
      </c>
      <c r="E15" s="13" t="n">
        <v>32</v>
      </c>
      <c r="F15" s="14" t="n">
        <f aca="false">12/32</f>
        <v>0.375</v>
      </c>
      <c r="G15" s="15" t="s">
        <v>25</v>
      </c>
    </row>
    <row r="16" customFormat="false" ht="16.5" hidden="false" customHeight="true" outlineLevel="0" collapsed="false">
      <c r="A16" s="4" t="s">
        <v>40</v>
      </c>
      <c r="B16" s="5" t="s">
        <v>41</v>
      </c>
      <c r="C16" s="6" t="n">
        <v>29</v>
      </c>
      <c r="D16" s="5" t="s">
        <v>36</v>
      </c>
      <c r="E16" s="7" t="n">
        <v>16</v>
      </c>
      <c r="F16" s="8" t="n">
        <f aca="false">1/16</f>
        <v>0.0625</v>
      </c>
      <c r="G16" s="9" t="s">
        <v>25</v>
      </c>
    </row>
    <row r="17" customFormat="false" ht="16.5" hidden="false" customHeight="true" outlineLevel="0" collapsed="false">
      <c r="A17" s="10" t="s">
        <v>42</v>
      </c>
      <c r="B17" s="11" t="s">
        <v>43</v>
      </c>
      <c r="C17" s="18" t="n">
        <v>27</v>
      </c>
      <c r="D17" s="11" t="s">
        <v>36</v>
      </c>
      <c r="E17" s="13" t="n">
        <v>16</v>
      </c>
      <c r="F17" s="14" t="n">
        <f aca="false">0.6668/16</f>
        <v>0.041675</v>
      </c>
      <c r="G17" s="15" t="s">
        <v>25</v>
      </c>
    </row>
    <row r="18" customFormat="false" ht="16.5" hidden="false" customHeight="true" outlineLevel="0" collapsed="false">
      <c r="A18" s="4" t="s">
        <v>44</v>
      </c>
      <c r="B18" s="5" t="s">
        <v>45</v>
      </c>
      <c r="C18" s="6" t="n">
        <v>21</v>
      </c>
      <c r="D18" s="5" t="s">
        <v>36</v>
      </c>
      <c r="E18" s="7" t="n">
        <v>16</v>
      </c>
      <c r="F18" s="8" t="n">
        <f aca="false">0.6668/16</f>
        <v>0.041675</v>
      </c>
      <c r="G18" s="9" t="s">
        <v>25</v>
      </c>
    </row>
    <row r="19" customFormat="false" ht="16.5" hidden="false" customHeight="true" outlineLevel="0" collapsed="false">
      <c r="A19" s="10" t="s">
        <v>46</v>
      </c>
      <c r="B19" s="11" t="s">
        <v>47</v>
      </c>
      <c r="C19" s="18" t="n">
        <v>18</v>
      </c>
      <c r="D19" s="11" t="s">
        <v>36</v>
      </c>
      <c r="E19" s="13" t="n">
        <v>16</v>
      </c>
      <c r="F19" s="14" t="n">
        <f aca="false">0.6668/16</f>
        <v>0.041675</v>
      </c>
      <c r="G19" s="15" t="s">
        <v>25</v>
      </c>
    </row>
    <row r="20" customFormat="false" ht="16.5" hidden="false" customHeight="true" outlineLevel="0" collapsed="false">
      <c r="A20" s="4" t="s">
        <v>48</v>
      </c>
      <c r="B20" s="5" t="s">
        <v>49</v>
      </c>
      <c r="C20" s="6" t="n">
        <v>45</v>
      </c>
      <c r="D20" s="5" t="s">
        <v>50</v>
      </c>
      <c r="E20" s="7" t="n">
        <v>64</v>
      </c>
      <c r="F20" s="8" t="n">
        <f aca="false">0.6668/64</f>
        <v>0.01041875</v>
      </c>
      <c r="G20" s="9" t="s">
        <v>25</v>
      </c>
    </row>
    <row r="21" customFormat="false" ht="16.5" hidden="false" customHeight="true" outlineLevel="0" collapsed="false">
      <c r="A21" s="10" t="s">
        <v>51</v>
      </c>
      <c r="B21" s="11" t="s">
        <v>52</v>
      </c>
      <c r="C21" s="12" t="n">
        <f aca="false">24/12</f>
        <v>2</v>
      </c>
      <c r="D21" s="11" t="s">
        <v>50</v>
      </c>
      <c r="E21" s="13" t="n">
        <v>1</v>
      </c>
      <c r="F21" s="14" t="n">
        <f aca="false">C17</f>
        <v>27</v>
      </c>
      <c r="G21" s="15" t="s">
        <v>53</v>
      </c>
    </row>
    <row r="22" customFormat="false" ht="16.5" hidden="false" customHeight="true" outlineLevel="0" collapsed="false">
      <c r="A22" s="4" t="s">
        <v>54</v>
      </c>
      <c r="B22" s="5" t="s">
        <v>55</v>
      </c>
      <c r="C22" s="16" t="n">
        <f aca="false">24/12</f>
        <v>2</v>
      </c>
      <c r="D22" s="5" t="s">
        <v>50</v>
      </c>
      <c r="E22" s="7" t="n">
        <v>1</v>
      </c>
      <c r="F22" s="8" t="n">
        <f aca="false">C18</f>
        <v>21</v>
      </c>
      <c r="G22" s="9" t="s">
        <v>53</v>
      </c>
    </row>
    <row r="23" customFormat="false" ht="16.5" hidden="false" customHeight="true" outlineLevel="0" collapsed="false">
      <c r="A23" s="10" t="s">
        <v>56</v>
      </c>
      <c r="B23" s="11" t="s">
        <v>57</v>
      </c>
      <c r="C23" s="12" t="n">
        <f aca="false">24/12</f>
        <v>2</v>
      </c>
      <c r="D23" s="11" t="s">
        <v>50</v>
      </c>
      <c r="E23" s="13" t="n">
        <v>1</v>
      </c>
      <c r="F23" s="14" t="n">
        <f aca="false">C19</f>
        <v>18</v>
      </c>
      <c r="G23" s="15" t="s">
        <v>53</v>
      </c>
    </row>
    <row r="24" customFormat="false" ht="16.5" hidden="false" customHeight="true" outlineLevel="0" collapsed="false">
      <c r="A24" s="4" t="s">
        <v>58</v>
      </c>
      <c r="B24" s="5" t="s">
        <v>59</v>
      </c>
      <c r="C24" s="16" t="n">
        <f aca="false">8.75/6</f>
        <v>1.45833333333333</v>
      </c>
      <c r="D24" s="5" t="s">
        <v>50</v>
      </c>
      <c r="E24" s="7" t="n">
        <v>1</v>
      </c>
      <c r="F24" s="8" t="n">
        <f aca="false">C20</f>
        <v>45</v>
      </c>
      <c r="G24" s="9" t="s">
        <v>53</v>
      </c>
    </row>
    <row r="25" customFormat="false" ht="16.5" hidden="false" customHeight="true" outlineLevel="0" collapsed="false">
      <c r="A25" s="10" t="s">
        <v>60</v>
      </c>
      <c r="B25" s="11" t="s">
        <v>61</v>
      </c>
      <c r="C25" s="12" t="n">
        <f aca="false">39/24</f>
        <v>1.625</v>
      </c>
      <c r="D25" s="11" t="s">
        <v>62</v>
      </c>
      <c r="E25" s="13" t="n">
        <v>1</v>
      </c>
      <c r="F25" s="14" t="n">
        <f aca="false">C21</f>
        <v>2</v>
      </c>
      <c r="G25" s="15" t="s">
        <v>53</v>
      </c>
    </row>
    <row r="26" customFormat="false" ht="16.5" hidden="false" customHeight="true" outlineLevel="0" collapsed="false">
      <c r="A26" s="4" t="s">
        <v>63</v>
      </c>
      <c r="B26" s="5" t="s">
        <v>64</v>
      </c>
      <c r="C26" s="6" t="n">
        <v>40</v>
      </c>
      <c r="D26" s="5" t="s">
        <v>65</v>
      </c>
      <c r="E26" s="7" t="n">
        <v>3.5</v>
      </c>
      <c r="F26" s="8" t="n">
        <f aca="false">18/1587</f>
        <v>0.0113421550094518</v>
      </c>
      <c r="G26" s="9" t="s">
        <v>66</v>
      </c>
    </row>
    <row r="27" customFormat="false" ht="16.5" hidden="false" customHeight="true" outlineLevel="0" collapsed="false">
      <c r="A27" s="10" t="s">
        <v>67</v>
      </c>
      <c r="B27" s="11" t="s">
        <v>68</v>
      </c>
      <c r="C27" s="18" t="n">
        <v>29</v>
      </c>
      <c r="D27" s="11" t="s">
        <v>65</v>
      </c>
      <c r="E27" s="13" t="n">
        <v>82</v>
      </c>
      <c r="F27" s="14" t="n">
        <f aca="false">0.5/82</f>
        <v>0.00609756097560976</v>
      </c>
      <c r="G27" s="15" t="s">
        <v>25</v>
      </c>
    </row>
    <row r="28" customFormat="false" ht="16.5" hidden="false" customHeight="true" outlineLevel="0" collapsed="false">
      <c r="A28" s="4" t="s">
        <v>69</v>
      </c>
      <c r="B28" s="5" t="s">
        <v>70</v>
      </c>
      <c r="C28" s="6" t="n">
        <v>9.95</v>
      </c>
      <c r="D28" s="5" t="s">
        <v>71</v>
      </c>
      <c r="E28" s="7" t="n">
        <v>25.4</v>
      </c>
      <c r="F28" s="8" t="n">
        <f aca="false">1/25.4</f>
        <v>0.0393700787401575</v>
      </c>
      <c r="G28" s="9" t="s">
        <v>25</v>
      </c>
    </row>
    <row r="29" customFormat="false" ht="16.5" hidden="false" customHeight="true" outlineLevel="0" collapsed="false">
      <c r="A29" s="10" t="s">
        <v>72</v>
      </c>
      <c r="B29" s="11" t="s">
        <v>73</v>
      </c>
      <c r="C29" s="18" t="n">
        <v>9.95</v>
      </c>
      <c r="D29" s="11" t="s">
        <v>71</v>
      </c>
      <c r="E29" s="13" t="n">
        <v>25.4</v>
      </c>
      <c r="F29" s="14" t="n">
        <f aca="false">1/25.4</f>
        <v>0.0393700787401575</v>
      </c>
      <c r="G29" s="15" t="s">
        <v>25</v>
      </c>
    </row>
    <row r="30" customFormat="false" ht="16.5" hidden="false" customHeight="true" outlineLevel="0" collapsed="false">
      <c r="A30" s="4" t="s">
        <v>74</v>
      </c>
      <c r="B30" s="5" t="s">
        <v>75</v>
      </c>
      <c r="C30" s="6" t="n">
        <v>9.95</v>
      </c>
      <c r="D30" s="5" t="s">
        <v>71</v>
      </c>
      <c r="E30" s="7" t="n">
        <v>25.4</v>
      </c>
      <c r="F30" s="8" t="n">
        <f aca="false">1/25.4</f>
        <v>0.0393700787401575</v>
      </c>
      <c r="G30" s="9" t="s">
        <v>25</v>
      </c>
    </row>
    <row r="31" customFormat="false" ht="16.5" hidden="false" customHeight="true" outlineLevel="0" collapsed="false">
      <c r="A31" s="10" t="s">
        <v>76</v>
      </c>
      <c r="B31" s="11" t="s">
        <v>77</v>
      </c>
      <c r="C31" s="18" t="n">
        <v>6.5</v>
      </c>
      <c r="D31" s="11" t="s">
        <v>71</v>
      </c>
      <c r="E31" s="13" t="n">
        <v>16</v>
      </c>
      <c r="F31" s="14" t="n">
        <f aca="false">1/16</f>
        <v>0.0625</v>
      </c>
      <c r="G31" s="15" t="s">
        <v>25</v>
      </c>
    </row>
    <row r="32" customFormat="false" ht="16.5" hidden="false" customHeight="true" outlineLevel="0" collapsed="false">
      <c r="A32" s="4" t="s">
        <v>78</v>
      </c>
      <c r="B32" s="5" t="s">
        <v>79</v>
      </c>
      <c r="C32" s="16" t="n">
        <f aca="false">9.4/2</f>
        <v>4.7</v>
      </c>
      <c r="D32" s="5" t="s">
        <v>71</v>
      </c>
      <c r="E32" s="7" t="n">
        <v>16</v>
      </c>
      <c r="F32" s="8" t="n">
        <f aca="false">1/16</f>
        <v>0.0625</v>
      </c>
      <c r="G32" s="9" t="s">
        <v>25</v>
      </c>
    </row>
    <row r="33" customFormat="false" ht="16.5" hidden="false" customHeight="true" outlineLevel="0" collapsed="false">
      <c r="A33" s="10" t="s">
        <v>80</v>
      </c>
      <c r="B33" s="11" t="s">
        <v>81</v>
      </c>
      <c r="C33" s="18" t="n">
        <v>9.95</v>
      </c>
      <c r="D33" s="11" t="s">
        <v>71</v>
      </c>
      <c r="E33" s="13" t="n">
        <v>25.4</v>
      </c>
      <c r="F33" s="14" t="n">
        <f aca="false">F25</f>
        <v>2</v>
      </c>
      <c r="G33" s="15" t="s">
        <v>25</v>
      </c>
    </row>
    <row r="34" customFormat="false" ht="16.5" hidden="false" customHeight="true" outlineLevel="0" collapsed="false">
      <c r="A34" s="4" t="s">
        <v>82</v>
      </c>
      <c r="B34" s="5" t="s">
        <v>83</v>
      </c>
      <c r="C34" s="6" t="n">
        <v>9.95</v>
      </c>
      <c r="D34" s="5" t="s">
        <v>71</v>
      </c>
      <c r="E34" s="7" t="n">
        <v>25.4</v>
      </c>
      <c r="F34" s="8" t="n">
        <f aca="false">F25</f>
        <v>2</v>
      </c>
      <c r="G34" s="9" t="s">
        <v>25</v>
      </c>
    </row>
    <row r="35" customFormat="false" ht="16.5" hidden="false" customHeight="true" outlineLevel="0" collapsed="false">
      <c r="A35" s="10" t="s">
        <v>84</v>
      </c>
      <c r="B35" s="11" t="s">
        <v>85</v>
      </c>
      <c r="C35" s="18" t="n">
        <v>9.95</v>
      </c>
      <c r="D35" s="11" t="s">
        <v>71</v>
      </c>
      <c r="E35" s="13" t="n">
        <v>25.4</v>
      </c>
      <c r="F35" s="14" t="n">
        <f aca="false">F25</f>
        <v>2</v>
      </c>
      <c r="G35" s="15" t="s">
        <v>25</v>
      </c>
    </row>
    <row r="36" customFormat="false" ht="16.5" hidden="false" customHeight="true" outlineLevel="0" collapsed="false">
      <c r="A36" s="4" t="s">
        <v>86</v>
      </c>
      <c r="B36" s="5" t="s">
        <v>87</v>
      </c>
      <c r="C36" s="6" t="n">
        <v>9.95</v>
      </c>
      <c r="D36" s="5" t="s">
        <v>71</v>
      </c>
      <c r="E36" s="7" t="n">
        <v>25.4</v>
      </c>
      <c r="F36" s="8" t="n">
        <f aca="false">F19</f>
        <v>0.041675</v>
      </c>
      <c r="G36" s="9" t="s">
        <v>25</v>
      </c>
    </row>
    <row r="37" customFormat="false" ht="16.5" hidden="false" customHeight="true" outlineLevel="0" collapsed="false">
      <c r="A37" s="10" t="s">
        <v>88</v>
      </c>
      <c r="B37" s="11" t="s">
        <v>89</v>
      </c>
      <c r="C37" s="18" t="n">
        <v>15.9</v>
      </c>
      <c r="D37" s="11" t="s">
        <v>71</v>
      </c>
      <c r="E37" s="13" t="n">
        <v>5</v>
      </c>
      <c r="F37" s="14" t="n">
        <f aca="false">1/80</f>
        <v>0.0125</v>
      </c>
      <c r="G37" s="15" t="s">
        <v>66</v>
      </c>
    </row>
    <row r="38" customFormat="false" ht="16.5" hidden="false" customHeight="true" outlineLevel="0" collapsed="false">
      <c r="A38" s="4" t="s">
        <v>90</v>
      </c>
      <c r="B38" s="5" t="s">
        <v>91</v>
      </c>
      <c r="C38" s="6" t="n">
        <v>0</v>
      </c>
      <c r="D38" s="5" t="s">
        <v>71</v>
      </c>
      <c r="E38" s="7" t="n">
        <v>0</v>
      </c>
      <c r="F38" s="17" t="n">
        <v>0</v>
      </c>
      <c r="G38" s="9" t="s">
        <v>53</v>
      </c>
    </row>
    <row r="39" customFormat="false" ht="16.5" hidden="false" customHeight="true" outlineLevel="0" collapsed="false">
      <c r="A39" s="10" t="s">
        <v>92</v>
      </c>
      <c r="B39" s="11" t="s">
        <v>93</v>
      </c>
      <c r="C39" s="18" t="n">
        <v>0</v>
      </c>
      <c r="D39" s="11" t="s">
        <v>71</v>
      </c>
      <c r="E39" s="13" t="n">
        <v>0</v>
      </c>
      <c r="F39" s="19" t="n">
        <v>0</v>
      </c>
      <c r="G39" s="15" t="s">
        <v>53</v>
      </c>
    </row>
    <row r="40" customFormat="false" ht="16.5" hidden="false" customHeight="true" outlineLevel="0" collapsed="false">
      <c r="A40" s="4" t="s">
        <v>94</v>
      </c>
      <c r="B40" s="5" t="s">
        <v>95</v>
      </c>
      <c r="C40" s="6" t="n">
        <v>0</v>
      </c>
      <c r="D40" s="5" t="s">
        <v>71</v>
      </c>
      <c r="E40" s="7" t="n">
        <v>0</v>
      </c>
      <c r="F40" s="17" t="n">
        <v>0</v>
      </c>
      <c r="G40" s="9" t="s">
        <v>53</v>
      </c>
    </row>
    <row r="41" customFormat="false" ht="16.5" hidden="false" customHeight="true" outlineLevel="0" collapsed="false">
      <c r="A41" s="10" t="s">
        <v>96</v>
      </c>
      <c r="B41" s="11" t="s">
        <v>97</v>
      </c>
      <c r="C41" s="18" t="n">
        <v>0</v>
      </c>
      <c r="D41" s="11" t="s">
        <v>71</v>
      </c>
      <c r="E41" s="13" t="n">
        <v>0</v>
      </c>
      <c r="F41" s="19" t="n">
        <v>0</v>
      </c>
      <c r="G41" s="15" t="s">
        <v>53</v>
      </c>
    </row>
    <row r="42" customFormat="false" ht="16.5" hidden="false" customHeight="true" outlineLevel="0" collapsed="false">
      <c r="A42" s="4" t="s">
        <v>98</v>
      </c>
      <c r="B42" s="5" t="s">
        <v>99</v>
      </c>
      <c r="C42" s="6" t="n">
        <v>0</v>
      </c>
      <c r="D42" s="5" t="s">
        <v>71</v>
      </c>
      <c r="E42" s="7" t="n">
        <v>0</v>
      </c>
      <c r="F42" s="17" t="n">
        <v>0</v>
      </c>
      <c r="G42" s="9" t="s">
        <v>53</v>
      </c>
    </row>
    <row r="43" customFormat="false" ht="16.5" hidden="false" customHeight="true" outlineLevel="0" collapsed="false">
      <c r="A43" s="10" t="s">
        <v>100</v>
      </c>
      <c r="B43" s="11" t="s">
        <v>101</v>
      </c>
      <c r="C43" s="18" t="n">
        <v>4.2</v>
      </c>
      <c r="D43" s="11" t="s">
        <v>102</v>
      </c>
      <c r="E43" s="13" t="n">
        <v>1</v>
      </c>
      <c r="F43" s="19" t="n">
        <v>1</v>
      </c>
      <c r="G43" s="15" t="s">
        <v>53</v>
      </c>
    </row>
    <row r="44" customFormat="false" ht="16.5" hidden="false" customHeight="true" outlineLevel="0" collapsed="false">
      <c r="A44" s="4" t="s">
        <v>103</v>
      </c>
      <c r="B44" s="5" t="s">
        <v>104</v>
      </c>
      <c r="C44" s="6" t="n">
        <v>1.95</v>
      </c>
      <c r="D44" s="5" t="s">
        <v>102</v>
      </c>
      <c r="E44" s="7" t="n">
        <v>1</v>
      </c>
      <c r="F44" s="17" t="n">
        <v>1</v>
      </c>
      <c r="G44" s="9" t="s">
        <v>53</v>
      </c>
    </row>
    <row r="45" customFormat="false" ht="16.5" hidden="false" customHeight="true" outlineLevel="0" collapsed="false">
      <c r="A45" s="10" t="s">
        <v>72</v>
      </c>
      <c r="B45" s="11" t="s">
        <v>105</v>
      </c>
      <c r="C45" s="18" t="n">
        <v>3.85</v>
      </c>
      <c r="D45" s="11" t="s">
        <v>102</v>
      </c>
      <c r="E45" s="13" t="n">
        <v>1</v>
      </c>
      <c r="F45" s="19" t="n">
        <v>1</v>
      </c>
      <c r="G45" s="15" t="s">
        <v>53</v>
      </c>
    </row>
    <row r="46" customFormat="false" ht="16.5" hidden="false" customHeight="true" outlineLevel="0" collapsed="false">
      <c r="A46" s="4" t="s">
        <v>106</v>
      </c>
      <c r="B46" s="5" t="s">
        <v>107</v>
      </c>
      <c r="C46" s="16" t="n">
        <f aca="false">56/50</f>
        <v>1.12</v>
      </c>
      <c r="D46" s="5" t="s">
        <v>108</v>
      </c>
      <c r="E46" s="7" t="n">
        <v>1</v>
      </c>
      <c r="F46" s="17" t="n">
        <v>1</v>
      </c>
      <c r="G46" s="9" t="s">
        <v>53</v>
      </c>
    </row>
    <row r="47" customFormat="false" ht="16.5" hidden="false" customHeight="true" outlineLevel="0" collapsed="false">
      <c r="A47" s="10" t="s">
        <v>109</v>
      </c>
      <c r="B47" s="11" t="s">
        <v>110</v>
      </c>
      <c r="C47" s="12" t="n">
        <f aca="false">168/2</f>
        <v>84</v>
      </c>
      <c r="D47" s="11" t="s">
        <v>108</v>
      </c>
      <c r="E47" s="13" t="n">
        <v>25</v>
      </c>
      <c r="F47" s="14" t="n">
        <f aca="false">3/25</f>
        <v>0.12</v>
      </c>
      <c r="G47" s="15" t="s">
        <v>53</v>
      </c>
    </row>
    <row r="48" customFormat="false" ht="16.5" hidden="false" customHeight="true" outlineLevel="0" collapsed="false">
      <c r="A48" s="4" t="s">
        <v>111</v>
      </c>
      <c r="B48" s="5" t="s">
        <v>112</v>
      </c>
      <c r="C48" s="16" t="n">
        <f aca="false">168/2</f>
        <v>84</v>
      </c>
      <c r="D48" s="5" t="s">
        <v>108</v>
      </c>
      <c r="E48" s="7" t="n">
        <v>25</v>
      </c>
      <c r="F48" s="8" t="n">
        <f aca="false">3/25</f>
        <v>0.12</v>
      </c>
      <c r="G48" s="9" t="s">
        <v>53</v>
      </c>
    </row>
    <row r="49" customFormat="false" ht="16.5" hidden="false" customHeight="true" outlineLevel="0" collapsed="false">
      <c r="A49" s="10" t="s">
        <v>113</v>
      </c>
      <c r="B49" s="11" t="s">
        <v>114</v>
      </c>
      <c r="C49" s="12" t="n">
        <f aca="false">168/2</f>
        <v>84</v>
      </c>
      <c r="D49" s="11" t="s">
        <v>108</v>
      </c>
      <c r="E49" s="13" t="n">
        <v>25</v>
      </c>
      <c r="F49" s="14" t="n">
        <f aca="false">3/25</f>
        <v>0.12</v>
      </c>
      <c r="G49" s="15" t="s">
        <v>53</v>
      </c>
    </row>
    <row r="50" customFormat="false" ht="16.5" hidden="false" customHeight="true" outlineLevel="0" collapsed="false">
      <c r="A50" s="4" t="s">
        <v>115</v>
      </c>
      <c r="B50" s="5" t="s">
        <v>116</v>
      </c>
      <c r="C50" s="16" t="n">
        <f aca="false">40/21</f>
        <v>1.9047619047619</v>
      </c>
      <c r="D50" s="5" t="s">
        <v>117</v>
      </c>
      <c r="E50" s="7" t="n">
        <v>40</v>
      </c>
      <c r="F50" s="8" t="n">
        <f aca="false">1/E47</f>
        <v>0.04</v>
      </c>
      <c r="G50" s="9" t="s">
        <v>53</v>
      </c>
    </row>
    <row r="51" customFormat="false" ht="16.5" hidden="false" customHeight="true" outlineLevel="0" collapsed="false">
      <c r="A51" s="10" t="s">
        <v>118</v>
      </c>
      <c r="B51" s="11" t="s">
        <v>119</v>
      </c>
      <c r="C51" s="18" t="n">
        <v>6.7</v>
      </c>
      <c r="D51" s="11" t="s">
        <v>120</v>
      </c>
      <c r="E51" s="13" t="n">
        <v>2.1</v>
      </c>
      <c r="F51" s="14" t="n">
        <f aca="false">6.2/952</f>
        <v>0.00651260504201681</v>
      </c>
      <c r="G51" s="15" t="s">
        <v>66</v>
      </c>
    </row>
    <row r="52" customFormat="false" ht="16.5" hidden="false" customHeight="true" outlineLevel="0" collapsed="false">
      <c r="A52" s="4" t="s">
        <v>121</v>
      </c>
      <c r="B52" s="5" t="s">
        <v>122</v>
      </c>
      <c r="C52" s="6" t="n">
        <v>14.1</v>
      </c>
      <c r="D52" s="5" t="s">
        <v>120</v>
      </c>
      <c r="E52" s="7" t="n">
        <v>6</v>
      </c>
      <c r="F52" s="8" t="n">
        <f aca="false">8/96</f>
        <v>0.0833333333333333</v>
      </c>
      <c r="G52" s="9" t="s">
        <v>66</v>
      </c>
    </row>
    <row r="53" customFormat="false" ht="16.5" hidden="false" customHeight="true" outlineLevel="0" collapsed="false">
      <c r="A53" s="10" t="s">
        <v>123</v>
      </c>
      <c r="B53" s="11" t="s">
        <v>124</v>
      </c>
      <c r="C53" s="12" t="n">
        <f aca="false">16/12</f>
        <v>1.33333333333333</v>
      </c>
      <c r="D53" s="11" t="s">
        <v>125</v>
      </c>
      <c r="E53" s="13" t="n">
        <v>8</v>
      </c>
      <c r="F53" s="14" t="n">
        <f aca="false">8/8</f>
        <v>1</v>
      </c>
      <c r="G53" s="15" t="s">
        <v>25</v>
      </c>
    </row>
    <row r="54" customFormat="false" ht="16.5" hidden="false" customHeight="true" outlineLevel="0" collapsed="false">
      <c r="A54" s="4" t="s">
        <v>126</v>
      </c>
      <c r="B54" s="5" t="s">
        <v>127</v>
      </c>
      <c r="C54" s="16" t="n">
        <f aca="false">8/2</f>
        <v>4</v>
      </c>
      <c r="D54" s="5" t="s">
        <v>125</v>
      </c>
      <c r="E54" s="7" t="n">
        <v>9</v>
      </c>
      <c r="F54" s="8" t="n">
        <f aca="false">22/100</f>
        <v>0.22</v>
      </c>
      <c r="G54" s="9" t="s">
        <v>25</v>
      </c>
    </row>
    <row r="55" customFormat="false" ht="16.5" hidden="false" customHeight="true" outlineLevel="0" collapsed="false">
      <c r="A55" s="10" t="s">
        <v>128</v>
      </c>
      <c r="B55" s="11" t="s">
        <v>129</v>
      </c>
      <c r="C55" s="12" t="n">
        <f aca="false">8.4/2</f>
        <v>4.2</v>
      </c>
      <c r="D55" s="11" t="s">
        <v>125</v>
      </c>
      <c r="E55" s="13" t="n">
        <v>9</v>
      </c>
      <c r="F55" s="14" t="n">
        <f aca="false">22/100</f>
        <v>0.22</v>
      </c>
      <c r="G55" s="15" t="s">
        <v>25</v>
      </c>
    </row>
    <row r="56" customFormat="false" ht="16.5" hidden="false" customHeight="true" outlineLevel="0" collapsed="false">
      <c r="A56" s="4" t="s">
        <v>130</v>
      </c>
      <c r="B56" s="5" t="s">
        <v>131</v>
      </c>
      <c r="C56" s="6" t="n">
        <v>9</v>
      </c>
      <c r="D56" s="5" t="s">
        <v>125</v>
      </c>
      <c r="E56" s="7" t="n">
        <v>24</v>
      </c>
      <c r="F56" s="8" t="n">
        <f aca="false">2/24</f>
        <v>0.0833333333333333</v>
      </c>
      <c r="G56" s="9" t="s">
        <v>25</v>
      </c>
    </row>
    <row r="57" customFormat="false" ht="16.5" hidden="false" customHeight="true" outlineLevel="0" collapsed="false">
      <c r="A57" s="10" t="s">
        <v>132</v>
      </c>
      <c r="B57" s="11" t="s">
        <v>133</v>
      </c>
      <c r="C57" s="18" t="n">
        <v>9</v>
      </c>
      <c r="D57" s="11" t="s">
        <v>125</v>
      </c>
      <c r="E57" s="13" t="n">
        <v>24</v>
      </c>
      <c r="F57" s="14" t="n">
        <f aca="false">2/24</f>
        <v>0.0833333333333333</v>
      </c>
      <c r="G57" s="15" t="s">
        <v>25</v>
      </c>
    </row>
    <row r="58" customFormat="false" ht="16.5" hidden="false" customHeight="true" outlineLevel="0" collapsed="false">
      <c r="A58" s="4" t="s">
        <v>134</v>
      </c>
      <c r="B58" s="5" t="s">
        <v>135</v>
      </c>
      <c r="C58" s="6" t="n">
        <v>3</v>
      </c>
      <c r="D58" s="5" t="s">
        <v>136</v>
      </c>
      <c r="E58" s="7" t="n">
        <v>8</v>
      </c>
      <c r="F58" s="8" t="n">
        <f aca="false">1/8</f>
        <v>0.125</v>
      </c>
      <c r="G58" s="9" t="s">
        <v>53</v>
      </c>
    </row>
    <row r="59" customFormat="false" ht="16.5" hidden="false" customHeight="true" outlineLevel="0" collapsed="false">
      <c r="A59" s="10" t="s">
        <v>137</v>
      </c>
      <c r="B59" s="11" t="s">
        <v>138</v>
      </c>
      <c r="C59" s="18" t="n">
        <v>5.3</v>
      </c>
      <c r="D59" s="11" t="s">
        <v>136</v>
      </c>
      <c r="E59" s="13" t="n">
        <v>1</v>
      </c>
      <c r="F59" s="14" t="n">
        <f aca="false">2/16</f>
        <v>0.125</v>
      </c>
      <c r="G59" s="15" t="s">
        <v>66</v>
      </c>
    </row>
    <row r="60" customFormat="false" ht="16.5" hidden="false" customHeight="true" outlineLevel="0" collapsed="false">
      <c r="A60" s="4" t="s">
        <v>139</v>
      </c>
      <c r="B60" s="5" t="s">
        <v>140</v>
      </c>
      <c r="C60" s="6" t="n">
        <v>7</v>
      </c>
      <c r="D60" s="5" t="s">
        <v>136</v>
      </c>
      <c r="E60" s="7" t="n">
        <v>1</v>
      </c>
      <c r="F60" s="8" t="n">
        <f aca="false">2/16</f>
        <v>0.125</v>
      </c>
      <c r="G60" s="9" t="s">
        <v>66</v>
      </c>
    </row>
    <row r="61" customFormat="false" ht="16.5" hidden="false" customHeight="true" outlineLevel="0" collapsed="false">
      <c r="A61" s="10" t="s">
        <v>141</v>
      </c>
      <c r="B61" s="11" t="s">
        <v>142</v>
      </c>
      <c r="C61" s="12" t="n">
        <f aca="false">12/8</f>
        <v>1.5</v>
      </c>
      <c r="D61" s="11" t="s">
        <v>143</v>
      </c>
      <c r="E61" s="13" t="n">
        <v>8</v>
      </c>
      <c r="F61" s="14" t="n">
        <f aca="false">1/8</f>
        <v>0.125</v>
      </c>
      <c r="G61" s="15" t="s">
        <v>53</v>
      </c>
    </row>
    <row r="62" customFormat="false" ht="16.5" hidden="false" customHeight="true" outlineLevel="0" collapsed="false">
      <c r="A62" s="4" t="s">
        <v>144</v>
      </c>
      <c r="B62" s="5" t="s">
        <v>145</v>
      </c>
      <c r="C62" s="16" t="n">
        <f aca="false">7.2/12</f>
        <v>0.6</v>
      </c>
      <c r="D62" s="5" t="s">
        <v>143</v>
      </c>
      <c r="E62" s="7" t="n">
        <v>15</v>
      </c>
      <c r="F62" s="8" t="n">
        <f aca="false">5/15</f>
        <v>0.333333333333333</v>
      </c>
      <c r="G62" s="9" t="s">
        <v>53</v>
      </c>
    </row>
    <row r="63" customFormat="false" ht="16.5" hidden="false" customHeight="true" outlineLevel="0" collapsed="false">
      <c r="A63" s="10" t="s">
        <v>146</v>
      </c>
      <c r="B63" s="11" t="s">
        <v>147</v>
      </c>
      <c r="C63" s="18" t="n">
        <v>6</v>
      </c>
      <c r="D63" s="11" t="s">
        <v>143</v>
      </c>
      <c r="E63" s="13" t="n">
        <v>5</v>
      </c>
      <c r="F63" s="19" t="n">
        <v>0.07</v>
      </c>
      <c r="G63" s="15" t="s">
        <v>25</v>
      </c>
    </row>
    <row r="64" customFormat="false" ht="16.5" hidden="false" customHeight="true" outlineLevel="0" collapsed="false">
      <c r="A64" s="4" t="s">
        <v>148</v>
      </c>
      <c r="B64" s="5" t="s">
        <v>149</v>
      </c>
      <c r="C64" s="6" t="n">
        <v>5.25</v>
      </c>
      <c r="D64" s="5" t="s">
        <v>150</v>
      </c>
      <c r="E64" s="7" t="n">
        <v>5</v>
      </c>
      <c r="F64" s="17" t="n">
        <v>0.02</v>
      </c>
      <c r="G64" s="9" t="s">
        <v>25</v>
      </c>
    </row>
    <row r="65" customFormat="false" ht="16.5" hidden="false" customHeight="true" outlineLevel="0" collapsed="false">
      <c r="A65" s="10" t="s">
        <v>151</v>
      </c>
      <c r="B65" s="11" t="s">
        <v>152</v>
      </c>
      <c r="C65" s="18" t="n">
        <v>5.5</v>
      </c>
      <c r="D65" s="11" t="s">
        <v>143</v>
      </c>
      <c r="E65" s="13" t="n">
        <v>24</v>
      </c>
      <c r="F65" s="14" t="n">
        <f aca="false">2/24</f>
        <v>0.0833333333333333</v>
      </c>
      <c r="G65" s="15" t="s">
        <v>25</v>
      </c>
    </row>
    <row r="66" customFormat="false" ht="16.5" hidden="false" customHeight="true" outlineLevel="0" collapsed="false">
      <c r="A66" s="4" t="s">
        <v>153</v>
      </c>
      <c r="B66" s="5" t="s">
        <v>154</v>
      </c>
      <c r="C66" s="6" t="n">
        <v>10</v>
      </c>
      <c r="D66" s="5" t="s">
        <v>155</v>
      </c>
      <c r="E66" s="7" t="n">
        <v>16</v>
      </c>
      <c r="F66" s="8" t="n">
        <f aca="false">6/16</f>
        <v>0.375</v>
      </c>
      <c r="G66" s="9" t="s">
        <v>25</v>
      </c>
    </row>
    <row r="67" customFormat="false" ht="16.5" hidden="false" customHeight="true" outlineLevel="0" collapsed="false">
      <c r="A67" s="10" t="s">
        <v>156</v>
      </c>
      <c r="B67" s="11" t="s">
        <v>157</v>
      </c>
      <c r="C67" s="12" t="n">
        <f aca="false">24/2</f>
        <v>12</v>
      </c>
      <c r="D67" s="11" t="s">
        <v>155</v>
      </c>
      <c r="E67" s="13" t="n">
        <v>16</v>
      </c>
      <c r="F67" s="14" t="n">
        <f aca="false">4/25</f>
        <v>0.16</v>
      </c>
      <c r="G67" s="15" t="s">
        <v>25</v>
      </c>
    </row>
    <row r="68" customFormat="false" ht="16.5" hidden="false" customHeight="true" outlineLevel="0" collapsed="false">
      <c r="A68" s="4" t="s">
        <v>158</v>
      </c>
      <c r="B68" s="5" t="s">
        <v>159</v>
      </c>
      <c r="C68" s="6" t="n">
        <v>5</v>
      </c>
      <c r="D68" s="5" t="s">
        <v>155</v>
      </c>
      <c r="E68" s="7" t="n">
        <v>32</v>
      </c>
      <c r="F68" s="8" t="n">
        <f aca="false">4/32</f>
        <v>0.125</v>
      </c>
      <c r="G68" s="9" t="s">
        <v>25</v>
      </c>
    </row>
    <row r="69" customFormat="false" ht="16.5" hidden="false" customHeight="true" outlineLevel="0" collapsed="false">
      <c r="A69" s="10" t="s">
        <v>160</v>
      </c>
      <c r="B69" s="11" t="s">
        <v>161</v>
      </c>
      <c r="C69" s="12" t="n">
        <f aca="false">4.5</f>
        <v>4.5</v>
      </c>
      <c r="D69" s="11" t="s">
        <v>162</v>
      </c>
      <c r="E69" s="13" t="n">
        <v>1</v>
      </c>
      <c r="F69" s="19" t="n">
        <v>1</v>
      </c>
      <c r="G69" s="15" t="s">
        <v>53</v>
      </c>
    </row>
    <row r="70" customFormat="false" ht="16.5" hidden="false" customHeight="true" outlineLevel="0" collapsed="false">
      <c r="A70" s="4" t="s">
        <v>163</v>
      </c>
      <c r="B70" s="5" t="s">
        <v>164</v>
      </c>
      <c r="C70" s="16" t="n">
        <f aca="false">5.5</f>
        <v>5.5</v>
      </c>
      <c r="D70" s="5" t="s">
        <v>162</v>
      </c>
      <c r="E70" s="7" t="n">
        <v>1</v>
      </c>
      <c r="F70" s="17" t="n">
        <v>1</v>
      </c>
      <c r="G70" s="9" t="s">
        <v>53</v>
      </c>
    </row>
    <row r="71" customFormat="false" ht="16.5" hidden="false" customHeight="true" outlineLevel="0" collapsed="false">
      <c r="A71" s="10" t="s">
        <v>165</v>
      </c>
      <c r="B71" s="11" t="s">
        <v>166</v>
      </c>
      <c r="C71" s="12" t="n">
        <f aca="false">9.5</f>
        <v>9.5</v>
      </c>
      <c r="D71" s="11" t="s">
        <v>125</v>
      </c>
      <c r="E71" s="13" t="n">
        <v>16</v>
      </c>
      <c r="F71" s="14" t="n">
        <f aca="false">2/16</f>
        <v>0.125</v>
      </c>
      <c r="G71" s="15" t="s">
        <v>25</v>
      </c>
    </row>
    <row r="72" customFormat="false" ht="16.5" hidden="false" customHeight="true" outlineLevel="0" collapsed="false">
      <c r="A72" s="4" t="s">
        <v>167</v>
      </c>
      <c r="B72" s="5" t="s">
        <v>168</v>
      </c>
      <c r="C72" s="6" t="n">
        <v>4.5</v>
      </c>
      <c r="D72" s="5" t="s">
        <v>169</v>
      </c>
      <c r="E72" s="7" t="n">
        <v>8</v>
      </c>
      <c r="F72" s="8" t="n">
        <f aca="false">0.5/8</f>
        <v>0.0625</v>
      </c>
      <c r="G72" s="9" t="s">
        <v>25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8"/>
    <col collapsed="false" customWidth="true" hidden="false" outlineLevel="0" max="8" min="6" style="0" width="14"/>
    <col collapsed="false" customWidth="true" hidden="false" outlineLevel="0" max="9" min="9" style="0" width="12"/>
  </cols>
  <sheetData>
    <row r="1" customFormat="false" ht="31.5" hidden="false" customHeight="true" outlineLevel="0" collapsed="false">
      <c r="A1" s="1" t="s">
        <v>170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171</v>
      </c>
      <c r="B2" s="2"/>
      <c r="C2" s="2"/>
      <c r="D2" s="2"/>
      <c r="E2" s="2"/>
      <c r="F2" s="2"/>
      <c r="G2" s="2"/>
      <c r="H2" s="2"/>
      <c r="I2" s="2"/>
    </row>
    <row r="3" customFormat="false" ht="21.75" hidden="false" customHeight="true" outlineLevel="0" collapsed="false">
      <c r="A3" s="3" t="s">
        <v>3</v>
      </c>
      <c r="B3" s="3" t="s">
        <v>5</v>
      </c>
      <c r="C3" s="3" t="s">
        <v>172</v>
      </c>
      <c r="D3" s="3" t="s">
        <v>173</v>
      </c>
      <c r="E3" s="3" t="s">
        <v>174</v>
      </c>
      <c r="F3" s="3" t="s">
        <v>175</v>
      </c>
      <c r="G3" s="3" t="s">
        <v>176</v>
      </c>
      <c r="H3" s="3" t="s">
        <v>177</v>
      </c>
      <c r="I3" s="3" t="s">
        <v>178</v>
      </c>
    </row>
    <row r="4" customFormat="false" ht="16.5" hidden="false" customHeight="true" outlineLevel="0" collapsed="false">
      <c r="A4" s="5" t="s">
        <v>179</v>
      </c>
      <c r="B4" s="5" t="s">
        <v>180</v>
      </c>
      <c r="C4" s="9" t="s">
        <v>180</v>
      </c>
      <c r="D4" s="20" t="n">
        <v>258</v>
      </c>
      <c r="E4" s="6" t="n">
        <v>1654.28</v>
      </c>
      <c r="F4" s="16" t="n">
        <f aca="false">IF(D4=0,0,E4/D4)</f>
        <v>6.41193798449612</v>
      </c>
      <c r="G4" s="21" t="n">
        <f aca="false">E4*$B$67</f>
        <v>198.5136</v>
      </c>
      <c r="H4" s="16" t="n">
        <f aca="false">E4-G4</f>
        <v>1455.7664</v>
      </c>
      <c r="I4" s="22" t="n">
        <f aca="false">IF(E4=0,0,H4/E4)</f>
        <v>0.88</v>
      </c>
    </row>
    <row r="5" customFormat="false" ht="16.5" hidden="false" customHeight="true" outlineLevel="0" collapsed="false">
      <c r="A5" s="11" t="s">
        <v>181</v>
      </c>
      <c r="B5" s="11" t="s">
        <v>180</v>
      </c>
      <c r="C5" s="15" t="s">
        <v>180</v>
      </c>
      <c r="D5" s="23" t="n">
        <v>54</v>
      </c>
      <c r="E5" s="18" t="n">
        <v>303.48</v>
      </c>
      <c r="F5" s="12" t="n">
        <f aca="false">IF(D5=0,0,E5/D5)</f>
        <v>5.62</v>
      </c>
      <c r="G5" s="24" t="n">
        <f aca="false">E5*$B$67</f>
        <v>36.4176</v>
      </c>
      <c r="H5" s="12" t="n">
        <f aca="false">E5-G5</f>
        <v>267.0624</v>
      </c>
      <c r="I5" s="25" t="n">
        <f aca="false">IF(E5=0,0,H5/E5)</f>
        <v>0.88</v>
      </c>
    </row>
    <row r="6" customFormat="false" ht="16.5" hidden="false" customHeight="true" outlineLevel="0" collapsed="false">
      <c r="A6" s="5" t="s">
        <v>182</v>
      </c>
      <c r="B6" s="5" t="s">
        <v>180</v>
      </c>
      <c r="C6" s="9" t="s">
        <v>180</v>
      </c>
      <c r="D6" s="20" t="n">
        <v>52</v>
      </c>
      <c r="E6" s="6" t="n">
        <v>247</v>
      </c>
      <c r="F6" s="16" t="n">
        <f aca="false">IF(D6=0,0,E6/D6)</f>
        <v>4.75</v>
      </c>
      <c r="G6" s="21" t="n">
        <f aca="false">E6*$B$67</f>
        <v>29.64</v>
      </c>
      <c r="H6" s="16" t="n">
        <f aca="false">E6-G6</f>
        <v>217.36</v>
      </c>
      <c r="I6" s="22" t="n">
        <f aca="false">IF(E6=0,0,H6/E6)</f>
        <v>0.88</v>
      </c>
    </row>
    <row r="7" customFormat="false" ht="16.5" hidden="false" customHeight="true" outlineLevel="0" collapsed="false">
      <c r="A7" s="11" t="s">
        <v>183</v>
      </c>
      <c r="B7" s="11" t="s">
        <v>180</v>
      </c>
      <c r="C7" s="15" t="s">
        <v>180</v>
      </c>
      <c r="D7" s="23" t="n">
        <v>48</v>
      </c>
      <c r="E7" s="18" t="n">
        <v>349.44</v>
      </c>
      <c r="F7" s="12" t="n">
        <f aca="false">IF(D7=0,0,E7/D7)</f>
        <v>7.28</v>
      </c>
      <c r="G7" s="24" t="n">
        <f aca="false">E7*$B$67</f>
        <v>41.9328</v>
      </c>
      <c r="H7" s="12" t="n">
        <f aca="false">E7-G7</f>
        <v>307.5072</v>
      </c>
      <c r="I7" s="25" t="n">
        <f aca="false">IF(E7=0,0,H7/E7)</f>
        <v>0.88</v>
      </c>
    </row>
    <row r="8" customFormat="false" ht="16.5" hidden="false" customHeight="true" outlineLevel="0" collapsed="false">
      <c r="A8" s="5" t="s">
        <v>184</v>
      </c>
      <c r="B8" s="5" t="s">
        <v>180</v>
      </c>
      <c r="C8" s="9" t="s">
        <v>180</v>
      </c>
      <c r="D8" s="20" t="n">
        <v>45</v>
      </c>
      <c r="E8" s="6" t="n">
        <v>251.55</v>
      </c>
      <c r="F8" s="16" t="n">
        <f aca="false">IF(D8=0,0,E8/D8)</f>
        <v>5.59</v>
      </c>
      <c r="G8" s="21" t="n">
        <f aca="false">E8*$B$67</f>
        <v>30.186</v>
      </c>
      <c r="H8" s="16" t="n">
        <f aca="false">E8-G8</f>
        <v>221.364</v>
      </c>
      <c r="I8" s="22" t="n">
        <f aca="false">IF(E8=0,0,H8/E8)</f>
        <v>0.88</v>
      </c>
    </row>
    <row r="9" customFormat="false" ht="16.5" hidden="false" customHeight="true" outlineLevel="0" collapsed="false">
      <c r="A9" s="11" t="s">
        <v>185</v>
      </c>
      <c r="B9" s="11" t="s">
        <v>180</v>
      </c>
      <c r="C9" s="15" t="s">
        <v>180</v>
      </c>
      <c r="D9" s="23" t="n">
        <v>44</v>
      </c>
      <c r="E9" s="18" t="n">
        <v>319.12</v>
      </c>
      <c r="F9" s="12" t="n">
        <f aca="false">IF(D9=0,0,E9/D9)</f>
        <v>7.25272727272727</v>
      </c>
      <c r="G9" s="24" t="n">
        <f aca="false">E9*$B$67</f>
        <v>38.2944</v>
      </c>
      <c r="H9" s="12" t="n">
        <f aca="false">E9-G9</f>
        <v>280.8256</v>
      </c>
      <c r="I9" s="25" t="n">
        <f aca="false">IF(E9=0,0,H9/E9)</f>
        <v>0.88</v>
      </c>
    </row>
    <row r="10" customFormat="false" ht="16.5" hidden="false" customHeight="true" outlineLevel="0" collapsed="false">
      <c r="A10" s="5" t="s">
        <v>186</v>
      </c>
      <c r="B10" s="5" t="s">
        <v>187</v>
      </c>
      <c r="C10" s="9" t="s">
        <v>188</v>
      </c>
      <c r="D10" s="20" t="n">
        <v>39</v>
      </c>
      <c r="E10" s="6" t="n">
        <v>195</v>
      </c>
      <c r="F10" s="16" t="n">
        <f aca="false">IF(D10=0,0,E10/D10)</f>
        <v>5</v>
      </c>
      <c r="G10" s="21" t="n">
        <f aca="false">E10*$B$68</f>
        <v>58.5</v>
      </c>
      <c r="H10" s="16" t="n">
        <f aca="false">E10-G10</f>
        <v>136.5</v>
      </c>
      <c r="I10" s="22" t="n">
        <f aca="false">IF(E10=0,0,H10/E10)</f>
        <v>0.7</v>
      </c>
    </row>
    <row r="11" customFormat="false" ht="16.5" hidden="false" customHeight="true" outlineLevel="0" collapsed="false">
      <c r="A11" s="11" t="s">
        <v>189</v>
      </c>
      <c r="B11" s="11" t="s">
        <v>190</v>
      </c>
      <c r="C11" s="15" t="s">
        <v>188</v>
      </c>
      <c r="D11" s="23" t="n">
        <v>39</v>
      </c>
      <c r="E11" s="18" t="n">
        <v>380.25</v>
      </c>
      <c r="F11" s="12" t="n">
        <f aca="false">IF(D11=0,0,E11/D11)</f>
        <v>9.75</v>
      </c>
      <c r="G11" s="24" t="n">
        <f aca="false">E11*$B$68</f>
        <v>114.075</v>
      </c>
      <c r="H11" s="12" t="n">
        <f aca="false">E11-G11</f>
        <v>266.175</v>
      </c>
      <c r="I11" s="25" t="n">
        <f aca="false">IF(E11=0,0,H11/E11)</f>
        <v>0.7</v>
      </c>
    </row>
    <row r="12" customFormat="false" ht="16.5" hidden="false" customHeight="true" outlineLevel="0" collapsed="false">
      <c r="A12" s="5" t="s">
        <v>191</v>
      </c>
      <c r="B12" s="5" t="s">
        <v>180</v>
      </c>
      <c r="C12" s="9" t="s">
        <v>180</v>
      </c>
      <c r="D12" s="20" t="n">
        <v>32</v>
      </c>
      <c r="E12" s="6" t="n">
        <v>143.36</v>
      </c>
      <c r="F12" s="16" t="n">
        <f aca="false">IF(D12=0,0,E12/D12)</f>
        <v>4.48</v>
      </c>
      <c r="G12" s="21" t="n">
        <f aca="false">E12*$B$67</f>
        <v>17.2032</v>
      </c>
      <c r="H12" s="16" t="n">
        <f aca="false">E12-G12</f>
        <v>126.1568</v>
      </c>
      <c r="I12" s="22" t="n">
        <f aca="false">IF(E12=0,0,H12/E12)</f>
        <v>0.88</v>
      </c>
    </row>
    <row r="13" customFormat="false" ht="16.5" hidden="false" customHeight="true" outlineLevel="0" collapsed="false">
      <c r="A13" s="11" t="s">
        <v>192</v>
      </c>
      <c r="B13" s="11" t="s">
        <v>190</v>
      </c>
      <c r="C13" s="15" t="s">
        <v>188</v>
      </c>
      <c r="D13" s="23" t="n">
        <v>32</v>
      </c>
      <c r="E13" s="18" t="n">
        <v>376</v>
      </c>
      <c r="F13" s="12" t="n">
        <f aca="false">IF(D13=0,0,E13/D13)</f>
        <v>11.75</v>
      </c>
      <c r="G13" s="24" t="n">
        <f aca="false">E13*$B$68</f>
        <v>112.8</v>
      </c>
      <c r="H13" s="12" t="n">
        <f aca="false">E13-G13</f>
        <v>263.2</v>
      </c>
      <c r="I13" s="25" t="n">
        <f aca="false">IF(E13=0,0,H13/E13)</f>
        <v>0.7</v>
      </c>
    </row>
    <row r="14" customFormat="false" ht="16.5" hidden="false" customHeight="true" outlineLevel="0" collapsed="false">
      <c r="A14" s="5" t="s">
        <v>193</v>
      </c>
      <c r="B14" s="5" t="s">
        <v>180</v>
      </c>
      <c r="C14" s="9" t="s">
        <v>180</v>
      </c>
      <c r="D14" s="20" t="n">
        <v>29</v>
      </c>
      <c r="E14" s="6" t="n">
        <v>170.71</v>
      </c>
      <c r="F14" s="16" t="n">
        <f aca="false">IF(D14=0,0,E14/D14)</f>
        <v>5.88655172413793</v>
      </c>
      <c r="G14" s="21" t="n">
        <f aca="false">E14*$B$67</f>
        <v>20.4852</v>
      </c>
      <c r="H14" s="16" t="n">
        <f aca="false">E14-G14</f>
        <v>150.2248</v>
      </c>
      <c r="I14" s="22" t="n">
        <f aca="false">IF(E14=0,0,H14/E14)</f>
        <v>0.88</v>
      </c>
    </row>
    <row r="15" customFormat="false" ht="16.5" hidden="false" customHeight="true" outlineLevel="0" collapsed="false">
      <c r="A15" s="11" t="s">
        <v>194</v>
      </c>
      <c r="B15" s="11" t="s">
        <v>195</v>
      </c>
      <c r="C15" s="15" t="s">
        <v>180</v>
      </c>
      <c r="D15" s="23" t="n">
        <v>27</v>
      </c>
      <c r="E15" s="18" t="n">
        <v>216</v>
      </c>
      <c r="F15" s="12" t="n">
        <f aca="false">IF(D15=0,0,E15/D15)</f>
        <v>8</v>
      </c>
      <c r="G15" s="24" t="n">
        <f aca="false">E15*$B$67</f>
        <v>25.92</v>
      </c>
      <c r="H15" s="12" t="n">
        <f aca="false">E15-G15</f>
        <v>190.08</v>
      </c>
      <c r="I15" s="25" t="n">
        <f aca="false">IF(E15=0,0,H15/E15)</f>
        <v>0.88</v>
      </c>
    </row>
    <row r="16" customFormat="false" ht="16.5" hidden="false" customHeight="true" outlineLevel="0" collapsed="false">
      <c r="A16" s="5" t="s">
        <v>196</v>
      </c>
      <c r="B16" s="5" t="s">
        <v>195</v>
      </c>
      <c r="C16" s="9" t="s">
        <v>180</v>
      </c>
      <c r="D16" s="20" t="n">
        <v>25</v>
      </c>
      <c r="E16" s="6" t="n">
        <v>197.5</v>
      </c>
      <c r="F16" s="16" t="n">
        <f aca="false">IF(D16=0,0,E16/D16)</f>
        <v>7.9</v>
      </c>
      <c r="G16" s="21" t="n">
        <f aca="false">E16*$B$67</f>
        <v>23.7</v>
      </c>
      <c r="H16" s="16" t="n">
        <f aca="false">E16-G16</f>
        <v>173.8</v>
      </c>
      <c r="I16" s="22" t="n">
        <f aca="false">IF(E16=0,0,H16/E16)</f>
        <v>0.88</v>
      </c>
    </row>
    <row r="17" customFormat="false" ht="16.5" hidden="false" customHeight="true" outlineLevel="0" collapsed="false">
      <c r="A17" s="11" t="s">
        <v>197</v>
      </c>
      <c r="B17" s="11" t="s">
        <v>180</v>
      </c>
      <c r="C17" s="15" t="s">
        <v>180</v>
      </c>
      <c r="D17" s="23" t="n">
        <v>24</v>
      </c>
      <c r="E17" s="18" t="n">
        <v>184.08</v>
      </c>
      <c r="F17" s="12" t="n">
        <f aca="false">IF(D17=0,0,E17/D17)</f>
        <v>7.67</v>
      </c>
      <c r="G17" s="24" t="n">
        <f aca="false">E17*$B$67</f>
        <v>22.0896</v>
      </c>
      <c r="H17" s="12" t="n">
        <f aca="false">E17-G17</f>
        <v>161.9904</v>
      </c>
      <c r="I17" s="25" t="n">
        <f aca="false">IF(E17=0,0,H17/E17)</f>
        <v>0.88</v>
      </c>
    </row>
    <row r="18" customFormat="false" ht="16.5" hidden="false" customHeight="true" outlineLevel="0" collapsed="false">
      <c r="A18" s="5" t="s">
        <v>198</v>
      </c>
      <c r="B18" s="5" t="s">
        <v>195</v>
      </c>
      <c r="C18" s="9" t="s">
        <v>180</v>
      </c>
      <c r="D18" s="20" t="n">
        <v>23</v>
      </c>
      <c r="E18" s="6" t="n">
        <v>184.77</v>
      </c>
      <c r="F18" s="16" t="n">
        <f aca="false">IF(D18=0,0,E18/D18)</f>
        <v>8.03347826086957</v>
      </c>
      <c r="G18" s="21" t="n">
        <f aca="false">E18*$B$67</f>
        <v>22.1724</v>
      </c>
      <c r="H18" s="16" t="n">
        <f aca="false">E18-G18</f>
        <v>162.5976</v>
      </c>
      <c r="I18" s="22" t="n">
        <f aca="false">IF(E18=0,0,H18/E18)</f>
        <v>0.88</v>
      </c>
    </row>
    <row r="19" customFormat="false" ht="16.5" hidden="false" customHeight="true" outlineLevel="0" collapsed="false">
      <c r="A19" s="11" t="s">
        <v>199</v>
      </c>
      <c r="B19" s="11" t="s">
        <v>200</v>
      </c>
      <c r="C19" s="15" t="s">
        <v>188</v>
      </c>
      <c r="D19" s="23" t="n">
        <v>22</v>
      </c>
      <c r="E19" s="18" t="n">
        <v>165</v>
      </c>
      <c r="F19" s="12" t="n">
        <f aca="false">IF(D19=0,0,E19/D19)</f>
        <v>7.5</v>
      </c>
      <c r="G19" s="24" t="n">
        <f aca="false">E19*$B$68</f>
        <v>49.5</v>
      </c>
      <c r="H19" s="12" t="n">
        <f aca="false">E19-G19</f>
        <v>115.5</v>
      </c>
      <c r="I19" s="25" t="n">
        <f aca="false">IF(E19=0,0,H19/E19)</f>
        <v>0.7</v>
      </c>
    </row>
    <row r="20" customFormat="false" ht="16.5" hidden="false" customHeight="true" outlineLevel="0" collapsed="false">
      <c r="A20" s="5" t="s">
        <v>201</v>
      </c>
      <c r="B20" s="5" t="s">
        <v>195</v>
      </c>
      <c r="C20" s="9" t="s">
        <v>180</v>
      </c>
      <c r="D20" s="20" t="n">
        <v>21</v>
      </c>
      <c r="E20" s="6" t="n">
        <v>162.75</v>
      </c>
      <c r="F20" s="16" t="n">
        <f aca="false">IF(D20=0,0,E20/D20)</f>
        <v>7.75</v>
      </c>
      <c r="G20" s="21" t="n">
        <f aca="false">E20*$B$67</f>
        <v>19.53</v>
      </c>
      <c r="H20" s="16" t="n">
        <f aca="false">E20-G20</f>
        <v>143.22</v>
      </c>
      <c r="I20" s="22" t="n">
        <f aca="false">IF(E20=0,0,H20/E20)</f>
        <v>0.88</v>
      </c>
    </row>
    <row r="21" customFormat="false" ht="16.5" hidden="false" customHeight="true" outlineLevel="0" collapsed="false">
      <c r="A21" s="11" t="s">
        <v>202</v>
      </c>
      <c r="B21" s="11" t="s">
        <v>195</v>
      </c>
      <c r="C21" s="15" t="s">
        <v>180</v>
      </c>
      <c r="D21" s="23" t="n">
        <v>21</v>
      </c>
      <c r="E21" s="18" t="n">
        <v>158.13</v>
      </c>
      <c r="F21" s="12" t="n">
        <f aca="false">IF(D21=0,0,E21/D21)</f>
        <v>7.53</v>
      </c>
      <c r="G21" s="24" t="n">
        <f aca="false">E21*$B$67</f>
        <v>18.9756</v>
      </c>
      <c r="H21" s="12" t="n">
        <f aca="false">E21-G21</f>
        <v>139.1544</v>
      </c>
      <c r="I21" s="25" t="n">
        <f aca="false">IF(E21=0,0,H21/E21)</f>
        <v>0.88</v>
      </c>
    </row>
    <row r="22" customFormat="false" ht="16.5" hidden="false" customHeight="true" outlineLevel="0" collapsed="false">
      <c r="A22" s="5" t="s">
        <v>203</v>
      </c>
      <c r="B22" s="5" t="s">
        <v>190</v>
      </c>
      <c r="C22" s="9" t="s">
        <v>188</v>
      </c>
      <c r="D22" s="20" t="n">
        <v>21</v>
      </c>
      <c r="E22" s="6" t="n">
        <v>84</v>
      </c>
      <c r="F22" s="16" t="n">
        <f aca="false">IF(D22=0,0,E22/D22)</f>
        <v>4</v>
      </c>
      <c r="G22" s="21" t="n">
        <f aca="false">E22*$B$68</f>
        <v>25.2</v>
      </c>
      <c r="H22" s="16" t="n">
        <f aca="false">E22-G22</f>
        <v>58.8</v>
      </c>
      <c r="I22" s="22" t="n">
        <f aca="false">IF(E22=0,0,H22/E22)</f>
        <v>0.7</v>
      </c>
    </row>
    <row r="23" customFormat="false" ht="16.5" hidden="false" customHeight="true" outlineLevel="0" collapsed="false">
      <c r="A23" s="11" t="s">
        <v>204</v>
      </c>
      <c r="B23" s="11" t="s">
        <v>180</v>
      </c>
      <c r="C23" s="15" t="s">
        <v>180</v>
      </c>
      <c r="D23" s="23" t="n">
        <v>20</v>
      </c>
      <c r="E23" s="18" t="n">
        <v>107</v>
      </c>
      <c r="F23" s="12" t="n">
        <f aca="false">IF(D23=0,0,E23/D23)</f>
        <v>5.35</v>
      </c>
      <c r="G23" s="24" t="n">
        <f aca="false">E23*$B$67</f>
        <v>12.84</v>
      </c>
      <c r="H23" s="12" t="n">
        <f aca="false">E23-G23</f>
        <v>94.16</v>
      </c>
      <c r="I23" s="25" t="n">
        <f aca="false">IF(E23=0,0,H23/E23)</f>
        <v>0.88</v>
      </c>
    </row>
    <row r="24" customFormat="false" ht="16.5" hidden="false" customHeight="true" outlineLevel="0" collapsed="false">
      <c r="A24" s="5" t="s">
        <v>205</v>
      </c>
      <c r="B24" s="5" t="s">
        <v>206</v>
      </c>
      <c r="C24" s="9" t="s">
        <v>188</v>
      </c>
      <c r="D24" s="20" t="n">
        <v>20</v>
      </c>
      <c r="E24" s="6" t="n">
        <v>310</v>
      </c>
      <c r="F24" s="16" t="n">
        <f aca="false">IF(D24=0,0,E24/D24)</f>
        <v>15.5</v>
      </c>
      <c r="G24" s="21" t="n">
        <f aca="false">E24*$B$68</f>
        <v>93</v>
      </c>
      <c r="H24" s="16" t="n">
        <f aca="false">E24-G24</f>
        <v>217</v>
      </c>
      <c r="I24" s="22" t="n">
        <f aca="false">IF(E24=0,0,H24/E24)</f>
        <v>0.7</v>
      </c>
    </row>
    <row r="25" customFormat="false" ht="16.5" hidden="false" customHeight="true" outlineLevel="0" collapsed="false">
      <c r="A25" s="11" t="s">
        <v>207</v>
      </c>
      <c r="B25" s="11" t="s">
        <v>180</v>
      </c>
      <c r="C25" s="15" t="s">
        <v>180</v>
      </c>
      <c r="D25" s="23" t="n">
        <v>19</v>
      </c>
      <c r="E25" s="18" t="n">
        <v>90.25</v>
      </c>
      <c r="F25" s="12" t="n">
        <f aca="false">IF(D25=0,0,E25/D25)</f>
        <v>4.75</v>
      </c>
      <c r="G25" s="24" t="n">
        <f aca="false">E25*$B$67</f>
        <v>10.83</v>
      </c>
      <c r="H25" s="12" t="n">
        <f aca="false">E25-G25</f>
        <v>79.42</v>
      </c>
      <c r="I25" s="25" t="n">
        <f aca="false">IF(E25=0,0,H25/E25)</f>
        <v>0.88</v>
      </c>
    </row>
    <row r="26" customFormat="false" ht="16.5" hidden="false" customHeight="true" outlineLevel="0" collapsed="false">
      <c r="A26" s="5" t="s">
        <v>208</v>
      </c>
      <c r="B26" s="5" t="s">
        <v>206</v>
      </c>
      <c r="C26" s="9" t="s">
        <v>188</v>
      </c>
      <c r="D26" s="20" t="n">
        <v>19</v>
      </c>
      <c r="E26" s="6" t="n">
        <v>242.25</v>
      </c>
      <c r="F26" s="16" t="n">
        <f aca="false">IF(D26=0,0,E26/D26)</f>
        <v>12.75</v>
      </c>
      <c r="G26" s="21" t="n">
        <f aca="false">E26*$B$68</f>
        <v>72.675</v>
      </c>
      <c r="H26" s="16" t="n">
        <f aca="false">E26-G26</f>
        <v>169.575</v>
      </c>
      <c r="I26" s="22" t="n">
        <f aca="false">IF(E26=0,0,H26/E26)</f>
        <v>0.7</v>
      </c>
    </row>
    <row r="27" customFormat="false" ht="16.5" hidden="false" customHeight="true" outlineLevel="0" collapsed="false">
      <c r="A27" s="11" t="s">
        <v>209</v>
      </c>
      <c r="B27" s="11" t="s">
        <v>195</v>
      </c>
      <c r="C27" s="15" t="s">
        <v>180</v>
      </c>
      <c r="D27" s="23" t="n">
        <v>18</v>
      </c>
      <c r="E27" s="18" t="n">
        <v>153</v>
      </c>
      <c r="F27" s="12" t="n">
        <f aca="false">IF(D27=0,0,E27/D27)</f>
        <v>8.5</v>
      </c>
      <c r="G27" s="24" t="n">
        <f aca="false">E27*$B$67</f>
        <v>18.36</v>
      </c>
      <c r="H27" s="12" t="n">
        <f aca="false">E27-G27</f>
        <v>134.64</v>
      </c>
      <c r="I27" s="25" t="n">
        <f aca="false">IF(E27=0,0,H27/E27)</f>
        <v>0.88</v>
      </c>
    </row>
    <row r="28" customFormat="false" ht="16.5" hidden="false" customHeight="true" outlineLevel="0" collapsed="false">
      <c r="A28" s="5" t="s">
        <v>107</v>
      </c>
      <c r="B28" s="5" t="s">
        <v>187</v>
      </c>
      <c r="C28" s="9" t="s">
        <v>188</v>
      </c>
      <c r="D28" s="20" t="n">
        <v>17</v>
      </c>
      <c r="E28" s="6" t="n">
        <v>68</v>
      </c>
      <c r="F28" s="16" t="n">
        <f aca="false">IF(D28=0,0,E28/D28)</f>
        <v>4</v>
      </c>
      <c r="G28" s="21" t="n">
        <f aca="false">E28*$B$68</f>
        <v>20.4</v>
      </c>
      <c r="H28" s="16" t="n">
        <f aca="false">E28-G28</f>
        <v>47.6</v>
      </c>
      <c r="I28" s="22" t="n">
        <f aca="false">IF(E28=0,0,H28/E28)</f>
        <v>0.7</v>
      </c>
    </row>
    <row r="29" customFormat="false" ht="16.5" hidden="false" customHeight="true" outlineLevel="0" collapsed="false">
      <c r="A29" s="11" t="s">
        <v>210</v>
      </c>
      <c r="B29" s="11" t="s">
        <v>180</v>
      </c>
      <c r="C29" s="15" t="s">
        <v>180</v>
      </c>
      <c r="D29" s="23" t="n">
        <v>17</v>
      </c>
      <c r="E29" s="18" t="n">
        <v>82.11</v>
      </c>
      <c r="F29" s="12" t="n">
        <f aca="false">IF(D29=0,0,E29/D29)</f>
        <v>4.83</v>
      </c>
      <c r="G29" s="24" t="n">
        <f aca="false">E29*$B$67</f>
        <v>9.8532</v>
      </c>
      <c r="H29" s="12" t="n">
        <f aca="false">E29-G29</f>
        <v>72.2568</v>
      </c>
      <c r="I29" s="25" t="n">
        <f aca="false">IF(E29=0,0,H29/E29)</f>
        <v>0.88</v>
      </c>
    </row>
    <row r="30" customFormat="false" ht="16.5" hidden="false" customHeight="true" outlineLevel="0" collapsed="false">
      <c r="A30" s="5" t="s">
        <v>211</v>
      </c>
      <c r="B30" s="5" t="s">
        <v>180</v>
      </c>
      <c r="C30" s="9" t="s">
        <v>180</v>
      </c>
      <c r="D30" s="20" t="n">
        <v>17</v>
      </c>
      <c r="E30" s="6" t="n">
        <v>85</v>
      </c>
      <c r="F30" s="16" t="n">
        <f aca="false">IF(D30=0,0,E30/D30)</f>
        <v>5</v>
      </c>
      <c r="G30" s="21" t="n">
        <f aca="false">E30*$B$67</f>
        <v>10.2</v>
      </c>
      <c r="H30" s="16" t="n">
        <f aca="false">E30-G30</f>
        <v>74.8</v>
      </c>
      <c r="I30" s="22" t="n">
        <f aca="false">IF(E30=0,0,H30/E30)</f>
        <v>0.88</v>
      </c>
    </row>
    <row r="31" customFormat="false" ht="16.5" hidden="false" customHeight="true" outlineLevel="0" collapsed="false">
      <c r="A31" s="11" t="s">
        <v>212</v>
      </c>
      <c r="B31" s="11" t="s">
        <v>213</v>
      </c>
      <c r="C31" s="15" t="s">
        <v>188</v>
      </c>
      <c r="D31" s="23" t="n">
        <v>17</v>
      </c>
      <c r="E31" s="18" t="n">
        <v>174.25</v>
      </c>
      <c r="F31" s="12" t="n">
        <f aca="false">IF(D31=0,0,E31/D31)</f>
        <v>10.25</v>
      </c>
      <c r="G31" s="24" t="n">
        <f aca="false">E31*$B$68</f>
        <v>52.275</v>
      </c>
      <c r="H31" s="12" t="n">
        <f aca="false">E31-G31</f>
        <v>121.975</v>
      </c>
      <c r="I31" s="25" t="n">
        <f aca="false">IF(E31=0,0,H31/E31)</f>
        <v>0.7</v>
      </c>
    </row>
    <row r="32" customFormat="false" ht="16.5" hidden="false" customHeight="true" outlineLevel="0" collapsed="false">
      <c r="A32" s="5" t="s">
        <v>214</v>
      </c>
      <c r="B32" s="5" t="s">
        <v>206</v>
      </c>
      <c r="C32" s="9" t="s">
        <v>188</v>
      </c>
      <c r="D32" s="20" t="n">
        <v>16</v>
      </c>
      <c r="E32" s="6" t="n">
        <v>172</v>
      </c>
      <c r="F32" s="16" t="n">
        <f aca="false">IF(D32=0,0,E32/D32)</f>
        <v>10.75</v>
      </c>
      <c r="G32" s="21" t="n">
        <f aca="false">E32*$B$68</f>
        <v>51.6</v>
      </c>
      <c r="H32" s="16" t="n">
        <f aca="false">E32-G32</f>
        <v>120.4</v>
      </c>
      <c r="I32" s="22" t="n">
        <f aca="false">IF(E32=0,0,H32/E32)</f>
        <v>0.7</v>
      </c>
    </row>
    <row r="33" customFormat="false" ht="16.5" hidden="false" customHeight="true" outlineLevel="0" collapsed="false">
      <c r="A33" s="11" t="s">
        <v>215</v>
      </c>
      <c r="B33" s="11" t="s">
        <v>180</v>
      </c>
      <c r="C33" s="15" t="s">
        <v>180</v>
      </c>
      <c r="D33" s="23" t="n">
        <v>15</v>
      </c>
      <c r="E33" s="18" t="n">
        <v>85.5</v>
      </c>
      <c r="F33" s="12" t="n">
        <f aca="false">IF(D33=0,0,E33/D33)</f>
        <v>5.7</v>
      </c>
      <c r="G33" s="24" t="n">
        <f aca="false">E33*$B$67</f>
        <v>10.26</v>
      </c>
      <c r="H33" s="12" t="n">
        <f aca="false">E33-G33</f>
        <v>75.24</v>
      </c>
      <c r="I33" s="25" t="n">
        <f aca="false">IF(E33=0,0,H33/E33)</f>
        <v>0.88</v>
      </c>
    </row>
    <row r="34" customFormat="false" ht="16.5" hidden="false" customHeight="true" outlineLevel="0" collapsed="false">
      <c r="A34" s="5" t="s">
        <v>216</v>
      </c>
      <c r="B34" s="5" t="s">
        <v>180</v>
      </c>
      <c r="C34" s="9" t="s">
        <v>180</v>
      </c>
      <c r="D34" s="20" t="n">
        <v>14</v>
      </c>
      <c r="E34" s="6" t="n">
        <v>67.5</v>
      </c>
      <c r="F34" s="16" t="n">
        <f aca="false">IF(D34=0,0,E34/D34)</f>
        <v>4.82142857142857</v>
      </c>
      <c r="G34" s="21" t="n">
        <f aca="false">E34*$B$67</f>
        <v>8.1</v>
      </c>
      <c r="H34" s="16" t="n">
        <f aca="false">E34-G34</f>
        <v>59.4</v>
      </c>
      <c r="I34" s="22" t="n">
        <f aca="false">IF(E34=0,0,H34/E34)</f>
        <v>0.88</v>
      </c>
    </row>
    <row r="35" customFormat="false" ht="16.5" hidden="false" customHeight="true" outlineLevel="0" collapsed="false">
      <c r="A35" s="11" t="s">
        <v>104</v>
      </c>
      <c r="B35" s="11" t="s">
        <v>217</v>
      </c>
      <c r="C35" s="15" t="s">
        <v>188</v>
      </c>
      <c r="D35" s="23" t="n">
        <v>13</v>
      </c>
      <c r="E35" s="18" t="n">
        <v>97.5</v>
      </c>
      <c r="F35" s="12" t="n">
        <f aca="false">IF(D35=0,0,E35/D35)</f>
        <v>7.5</v>
      </c>
      <c r="G35" s="24" t="n">
        <f aca="false">E35*$B$68</f>
        <v>29.25</v>
      </c>
      <c r="H35" s="12" t="n">
        <f aca="false">E35-G35</f>
        <v>68.25</v>
      </c>
      <c r="I35" s="25" t="n">
        <f aca="false">IF(E35=0,0,H35/E35)</f>
        <v>0.7</v>
      </c>
    </row>
    <row r="36" customFormat="false" ht="16.5" hidden="false" customHeight="true" outlineLevel="0" collapsed="false">
      <c r="A36" s="5" t="s">
        <v>218</v>
      </c>
      <c r="B36" s="5" t="s">
        <v>180</v>
      </c>
      <c r="C36" s="9" t="s">
        <v>180</v>
      </c>
      <c r="D36" s="20" t="n">
        <v>13</v>
      </c>
      <c r="E36" s="6" t="n">
        <v>61.75</v>
      </c>
      <c r="F36" s="16" t="n">
        <f aca="false">IF(D36=0,0,E36/D36)</f>
        <v>4.75</v>
      </c>
      <c r="G36" s="21" t="n">
        <f aca="false">E36*$B$67</f>
        <v>7.41</v>
      </c>
      <c r="H36" s="16" t="n">
        <f aca="false">E36-G36</f>
        <v>54.34</v>
      </c>
      <c r="I36" s="22" t="n">
        <f aca="false">IF(E36=0,0,H36/E36)</f>
        <v>0.88</v>
      </c>
    </row>
    <row r="37" customFormat="false" ht="16.5" hidden="false" customHeight="true" outlineLevel="0" collapsed="false">
      <c r="A37" s="11" t="s">
        <v>219</v>
      </c>
      <c r="B37" s="11" t="s">
        <v>180</v>
      </c>
      <c r="C37" s="15" t="s">
        <v>180</v>
      </c>
      <c r="D37" s="23" t="n">
        <v>11</v>
      </c>
      <c r="E37" s="18" t="n">
        <v>52.25</v>
      </c>
      <c r="F37" s="12" t="n">
        <f aca="false">IF(D37=0,0,E37/D37)</f>
        <v>4.75</v>
      </c>
      <c r="G37" s="24" t="n">
        <f aca="false">E37*$B$67</f>
        <v>6.27</v>
      </c>
      <c r="H37" s="12" t="n">
        <f aca="false">E37-G37</f>
        <v>45.98</v>
      </c>
      <c r="I37" s="25" t="n">
        <f aca="false">IF(E37=0,0,H37/E37)</f>
        <v>0.88</v>
      </c>
    </row>
    <row r="38" customFormat="false" ht="16.5" hidden="false" customHeight="true" outlineLevel="0" collapsed="false">
      <c r="A38" s="5" t="s">
        <v>220</v>
      </c>
      <c r="B38" s="5" t="s">
        <v>206</v>
      </c>
      <c r="C38" s="9" t="s">
        <v>188</v>
      </c>
      <c r="D38" s="20" t="n">
        <v>11</v>
      </c>
      <c r="E38" s="6" t="n">
        <v>114.95</v>
      </c>
      <c r="F38" s="16" t="n">
        <f aca="false">IF(D38=0,0,E38/D38)</f>
        <v>10.45</v>
      </c>
      <c r="G38" s="21" t="n">
        <f aca="false">E38*$B$68</f>
        <v>34.485</v>
      </c>
      <c r="H38" s="16" t="n">
        <f aca="false">E38-G38</f>
        <v>80.465</v>
      </c>
      <c r="I38" s="22" t="n">
        <f aca="false">IF(E38=0,0,H38/E38)</f>
        <v>0.7</v>
      </c>
    </row>
    <row r="39" customFormat="false" ht="16.5" hidden="false" customHeight="true" outlineLevel="0" collapsed="false">
      <c r="A39" s="11" t="s">
        <v>221</v>
      </c>
      <c r="B39" s="11" t="s">
        <v>195</v>
      </c>
      <c r="C39" s="15" t="s">
        <v>180</v>
      </c>
      <c r="D39" s="23" t="n">
        <v>10</v>
      </c>
      <c r="E39" s="18" t="n">
        <v>71.5</v>
      </c>
      <c r="F39" s="12" t="n">
        <f aca="false">IF(D39=0,0,E39/D39)</f>
        <v>7.15</v>
      </c>
      <c r="G39" s="24" t="n">
        <f aca="false">E39*$B$67</f>
        <v>8.58</v>
      </c>
      <c r="H39" s="12" t="n">
        <f aca="false">E39-G39</f>
        <v>62.92</v>
      </c>
      <c r="I39" s="25" t="n">
        <f aca="false">IF(E39=0,0,H39/E39)</f>
        <v>0.88</v>
      </c>
    </row>
    <row r="40" customFormat="false" ht="16.5" hidden="false" customHeight="true" outlineLevel="0" collapsed="false">
      <c r="A40" s="5" t="s">
        <v>222</v>
      </c>
      <c r="B40" s="5" t="s">
        <v>223</v>
      </c>
      <c r="C40" s="9" t="s">
        <v>188</v>
      </c>
      <c r="D40" s="20" t="n">
        <v>10</v>
      </c>
      <c r="E40" s="6" t="n">
        <v>97.5</v>
      </c>
      <c r="F40" s="16" t="n">
        <f aca="false">IF(D40=0,0,E40/D40)</f>
        <v>9.75</v>
      </c>
      <c r="G40" s="21" t="n">
        <f aca="false">E40*$B$68</f>
        <v>29.25</v>
      </c>
      <c r="H40" s="16" t="n">
        <f aca="false">E40-G40</f>
        <v>68.25</v>
      </c>
      <c r="I40" s="22" t="n">
        <f aca="false">IF(E40=0,0,H40/E40)</f>
        <v>0.7</v>
      </c>
    </row>
    <row r="41" customFormat="false" ht="16.5" hidden="false" customHeight="true" outlineLevel="0" collapsed="false">
      <c r="A41" s="11" t="s">
        <v>101</v>
      </c>
      <c r="B41" s="11" t="s">
        <v>217</v>
      </c>
      <c r="C41" s="15" t="s">
        <v>188</v>
      </c>
      <c r="D41" s="23" t="n">
        <v>9</v>
      </c>
      <c r="E41" s="18" t="n">
        <v>69.75</v>
      </c>
      <c r="F41" s="12" t="n">
        <f aca="false">IF(D41=0,0,E41/D41)</f>
        <v>7.75</v>
      </c>
      <c r="G41" s="24" t="n">
        <f aca="false">E41*$B$68</f>
        <v>20.925</v>
      </c>
      <c r="H41" s="12" t="n">
        <f aca="false">E41-G41</f>
        <v>48.825</v>
      </c>
      <c r="I41" s="25" t="n">
        <f aca="false">IF(E41=0,0,H41/E41)</f>
        <v>0.7</v>
      </c>
    </row>
    <row r="42" customFormat="false" ht="16.5" hidden="false" customHeight="true" outlineLevel="0" collapsed="false">
      <c r="A42" s="5" t="s">
        <v>224</v>
      </c>
      <c r="B42" s="5" t="s">
        <v>180</v>
      </c>
      <c r="C42" s="9" t="s">
        <v>180</v>
      </c>
      <c r="D42" s="20" t="n">
        <v>8</v>
      </c>
      <c r="E42" s="6" t="n">
        <v>44</v>
      </c>
      <c r="F42" s="16" t="n">
        <f aca="false">IF(D42=0,0,E42/D42)</f>
        <v>5.5</v>
      </c>
      <c r="G42" s="21" t="n">
        <f aca="false">E42*$B$67</f>
        <v>5.28</v>
      </c>
      <c r="H42" s="16" t="n">
        <f aca="false">E42-G42</f>
        <v>38.72</v>
      </c>
      <c r="I42" s="22" t="n">
        <f aca="false">IF(E42=0,0,H42/E42)</f>
        <v>0.88</v>
      </c>
    </row>
    <row r="43" customFormat="false" ht="16.5" hidden="false" customHeight="true" outlineLevel="0" collapsed="false">
      <c r="A43" s="11" t="s">
        <v>225</v>
      </c>
      <c r="B43" s="11" t="s">
        <v>187</v>
      </c>
      <c r="C43" s="15" t="s">
        <v>188</v>
      </c>
      <c r="D43" s="23" t="n">
        <v>8</v>
      </c>
      <c r="E43" s="18" t="n">
        <v>32</v>
      </c>
      <c r="F43" s="12" t="n">
        <f aca="false">IF(D43=0,0,E43/D43)</f>
        <v>4</v>
      </c>
      <c r="G43" s="24" t="n">
        <f aca="false">E43*$B$68</f>
        <v>9.6</v>
      </c>
      <c r="H43" s="12" t="n">
        <f aca="false">E43-G43</f>
        <v>22.4</v>
      </c>
      <c r="I43" s="25" t="n">
        <f aca="false">IF(E43=0,0,H43/E43)</f>
        <v>0.7</v>
      </c>
    </row>
    <row r="44" customFormat="false" ht="16.5" hidden="false" customHeight="true" outlineLevel="0" collapsed="false">
      <c r="A44" s="5" t="s">
        <v>226</v>
      </c>
      <c r="B44" s="5" t="s">
        <v>190</v>
      </c>
      <c r="C44" s="9" t="s">
        <v>188</v>
      </c>
      <c r="D44" s="20" t="n">
        <v>8</v>
      </c>
      <c r="E44" s="6" t="n">
        <v>92</v>
      </c>
      <c r="F44" s="16" t="n">
        <f aca="false">IF(D44=0,0,E44/D44)</f>
        <v>11.5</v>
      </c>
      <c r="G44" s="21" t="n">
        <f aca="false">E44*$B$68</f>
        <v>27.6</v>
      </c>
      <c r="H44" s="16" t="n">
        <f aca="false">E44-G44</f>
        <v>64.4</v>
      </c>
      <c r="I44" s="22" t="n">
        <f aca="false">IF(E44=0,0,H44/E44)</f>
        <v>0.7</v>
      </c>
    </row>
    <row r="45" customFormat="false" ht="16.5" hidden="false" customHeight="true" outlineLevel="0" collapsed="false">
      <c r="A45" s="11" t="s">
        <v>227</v>
      </c>
      <c r="B45" s="11" t="s">
        <v>213</v>
      </c>
      <c r="C45" s="15" t="s">
        <v>188</v>
      </c>
      <c r="D45" s="23" t="n">
        <v>7</v>
      </c>
      <c r="E45" s="18" t="n">
        <v>35</v>
      </c>
      <c r="F45" s="12" t="n">
        <f aca="false">IF(D45=0,0,E45/D45)</f>
        <v>5</v>
      </c>
      <c r="G45" s="24" t="n">
        <f aca="false">E45*$B$68</f>
        <v>10.5</v>
      </c>
      <c r="H45" s="12" t="n">
        <f aca="false">E45-G45</f>
        <v>24.5</v>
      </c>
      <c r="I45" s="25" t="n">
        <f aca="false">IF(E45=0,0,H45/E45)</f>
        <v>0.7</v>
      </c>
    </row>
    <row r="46" customFormat="false" ht="16.5" hidden="false" customHeight="true" outlineLevel="0" collapsed="false">
      <c r="A46" s="5" t="s">
        <v>228</v>
      </c>
      <c r="B46" s="5" t="s">
        <v>213</v>
      </c>
      <c r="C46" s="9" t="s">
        <v>188</v>
      </c>
      <c r="D46" s="20" t="n">
        <v>7</v>
      </c>
      <c r="E46" s="6" t="n">
        <v>28</v>
      </c>
      <c r="F46" s="16" t="n">
        <f aca="false">IF(D46=0,0,E46/D46)</f>
        <v>4</v>
      </c>
      <c r="G46" s="21" t="n">
        <f aca="false">E46*$B$68</f>
        <v>8.4</v>
      </c>
      <c r="H46" s="16" t="n">
        <f aca="false">E46-G46</f>
        <v>19.6</v>
      </c>
      <c r="I46" s="22" t="n">
        <f aca="false">IF(E46=0,0,H46/E46)</f>
        <v>0.7</v>
      </c>
    </row>
    <row r="47" customFormat="false" ht="16.5" hidden="false" customHeight="true" outlineLevel="0" collapsed="false">
      <c r="A47" s="11" t="s">
        <v>229</v>
      </c>
      <c r="B47" s="11" t="s">
        <v>230</v>
      </c>
      <c r="C47" s="15" t="s">
        <v>188</v>
      </c>
      <c r="D47" s="23" t="n">
        <v>7</v>
      </c>
      <c r="E47" s="18" t="n">
        <v>35</v>
      </c>
      <c r="F47" s="12" t="n">
        <f aca="false">IF(D47=0,0,E47/D47)</f>
        <v>5</v>
      </c>
      <c r="G47" s="24" t="n">
        <f aca="false">E47*$B$68</f>
        <v>10.5</v>
      </c>
      <c r="H47" s="12" t="n">
        <f aca="false">E47-G47</f>
        <v>24.5</v>
      </c>
      <c r="I47" s="25" t="n">
        <f aca="false">IF(E47=0,0,H47/E47)</f>
        <v>0.7</v>
      </c>
    </row>
    <row r="48" customFormat="false" ht="16.5" hidden="false" customHeight="true" outlineLevel="0" collapsed="false">
      <c r="A48" s="5" t="s">
        <v>231</v>
      </c>
      <c r="B48" s="5" t="s">
        <v>180</v>
      </c>
      <c r="C48" s="9" t="s">
        <v>180</v>
      </c>
      <c r="D48" s="20" t="n">
        <v>6</v>
      </c>
      <c r="E48" s="6" t="n">
        <v>27.75</v>
      </c>
      <c r="F48" s="16" t="n">
        <f aca="false">IF(D48=0,0,E48/D48)</f>
        <v>4.625</v>
      </c>
      <c r="G48" s="21" t="n">
        <f aca="false">E48*$B$67</f>
        <v>3.33</v>
      </c>
      <c r="H48" s="16" t="n">
        <f aca="false">E48-G48</f>
        <v>24.42</v>
      </c>
      <c r="I48" s="22" t="n">
        <f aca="false">IF(E48=0,0,H48/E48)</f>
        <v>0.88</v>
      </c>
    </row>
    <row r="49" customFormat="false" ht="16.5" hidden="false" customHeight="true" outlineLevel="0" collapsed="false">
      <c r="A49" s="11" t="s">
        <v>232</v>
      </c>
      <c r="B49" s="11" t="s">
        <v>223</v>
      </c>
      <c r="C49" s="15" t="s">
        <v>188</v>
      </c>
      <c r="D49" s="23" t="n">
        <v>6</v>
      </c>
      <c r="E49" s="18" t="n">
        <v>63</v>
      </c>
      <c r="F49" s="12" t="n">
        <f aca="false">IF(D49=0,0,E49/D49)</f>
        <v>10.5</v>
      </c>
      <c r="G49" s="24" t="n">
        <f aca="false">E49*$B$68</f>
        <v>18.9</v>
      </c>
      <c r="H49" s="12" t="n">
        <f aca="false">E49-G49</f>
        <v>44.1</v>
      </c>
      <c r="I49" s="25" t="n">
        <f aca="false">IF(E49=0,0,H49/E49)</f>
        <v>0.7</v>
      </c>
    </row>
    <row r="50" customFormat="false" ht="16.5" hidden="false" customHeight="true" outlineLevel="0" collapsed="false">
      <c r="A50" s="5" t="s">
        <v>233</v>
      </c>
      <c r="B50" s="5" t="s">
        <v>180</v>
      </c>
      <c r="C50" s="9" t="s">
        <v>180</v>
      </c>
      <c r="D50" s="20" t="n">
        <v>5</v>
      </c>
      <c r="E50" s="6" t="n">
        <v>22.5</v>
      </c>
      <c r="F50" s="16" t="n">
        <f aca="false">IF(D50=0,0,E50/D50)</f>
        <v>4.5</v>
      </c>
      <c r="G50" s="21" t="n">
        <f aca="false">E50*$B$67</f>
        <v>2.7</v>
      </c>
      <c r="H50" s="16" t="n">
        <f aca="false">E50-G50</f>
        <v>19.8</v>
      </c>
      <c r="I50" s="22" t="n">
        <f aca="false">IF(E50=0,0,H50/E50)</f>
        <v>0.88</v>
      </c>
    </row>
    <row r="51" customFormat="false" ht="16.5" hidden="false" customHeight="true" outlineLevel="0" collapsed="false">
      <c r="A51" s="11" t="s">
        <v>234</v>
      </c>
      <c r="B51" s="11" t="s">
        <v>187</v>
      </c>
      <c r="C51" s="15" t="s">
        <v>188</v>
      </c>
      <c r="D51" s="23" t="n">
        <v>5</v>
      </c>
      <c r="E51" s="18" t="n">
        <v>18.75</v>
      </c>
      <c r="F51" s="12" t="n">
        <f aca="false">IF(D51=0,0,E51/D51)</f>
        <v>3.75</v>
      </c>
      <c r="G51" s="24" t="n">
        <f aca="false">E51*$B$68</f>
        <v>5.625</v>
      </c>
      <c r="H51" s="12" t="n">
        <f aca="false">E51-G51</f>
        <v>13.125</v>
      </c>
      <c r="I51" s="25" t="n">
        <f aca="false">IF(E51=0,0,H51/E51)</f>
        <v>0.7</v>
      </c>
    </row>
    <row r="52" customFormat="false" ht="16.5" hidden="false" customHeight="true" outlineLevel="0" collapsed="false">
      <c r="A52" s="5" t="s">
        <v>114</v>
      </c>
      <c r="B52" s="5" t="s">
        <v>230</v>
      </c>
      <c r="C52" s="9" t="s">
        <v>188</v>
      </c>
      <c r="D52" s="20" t="n">
        <v>5</v>
      </c>
      <c r="E52" s="6" t="n">
        <v>72.5</v>
      </c>
      <c r="F52" s="16" t="n">
        <f aca="false">IF(D52=0,0,E52/D52)</f>
        <v>14.5</v>
      </c>
      <c r="G52" s="21" t="n">
        <f aca="false">E52*$B$68</f>
        <v>21.75</v>
      </c>
      <c r="H52" s="16" t="n">
        <f aca="false">E52-G52</f>
        <v>50.75</v>
      </c>
      <c r="I52" s="22" t="n">
        <f aca="false">IF(E52=0,0,H52/E52)</f>
        <v>0.7</v>
      </c>
    </row>
    <row r="53" customFormat="false" ht="16.5" hidden="false" customHeight="true" outlineLevel="0" collapsed="false">
      <c r="A53" s="11" t="s">
        <v>112</v>
      </c>
      <c r="B53" s="11" t="s">
        <v>230</v>
      </c>
      <c r="C53" s="15" t="s">
        <v>188</v>
      </c>
      <c r="D53" s="23" t="n">
        <v>5</v>
      </c>
      <c r="E53" s="18" t="n">
        <v>72.5</v>
      </c>
      <c r="F53" s="12" t="n">
        <f aca="false">IF(D53=0,0,E53/D53)</f>
        <v>14.5</v>
      </c>
      <c r="G53" s="24" t="n">
        <f aca="false">E53*$B$68</f>
        <v>21.75</v>
      </c>
      <c r="H53" s="12" t="n">
        <f aca="false">E53-G53</f>
        <v>50.75</v>
      </c>
      <c r="I53" s="25" t="n">
        <f aca="false">IF(E53=0,0,H53/E53)</f>
        <v>0.7</v>
      </c>
    </row>
    <row r="54" customFormat="false" ht="16.5" hidden="false" customHeight="true" outlineLevel="0" collapsed="false">
      <c r="A54" s="5" t="s">
        <v>105</v>
      </c>
      <c r="B54" s="5" t="s">
        <v>217</v>
      </c>
      <c r="C54" s="9" t="s">
        <v>188</v>
      </c>
      <c r="D54" s="20" t="n">
        <v>4</v>
      </c>
      <c r="E54" s="6" t="n">
        <v>34</v>
      </c>
      <c r="F54" s="16" t="n">
        <f aca="false">IF(D54=0,0,E54/D54)</f>
        <v>8.5</v>
      </c>
      <c r="G54" s="21" t="n">
        <f aca="false">E54*$B$68</f>
        <v>10.2</v>
      </c>
      <c r="H54" s="16" t="n">
        <f aca="false">E54-G54</f>
        <v>23.8</v>
      </c>
      <c r="I54" s="22" t="n">
        <f aca="false">IF(E54=0,0,H54/E54)</f>
        <v>0.7</v>
      </c>
    </row>
    <row r="55" customFormat="false" ht="16.5" hidden="false" customHeight="true" outlineLevel="0" collapsed="false">
      <c r="A55" s="11" t="s">
        <v>235</v>
      </c>
      <c r="B55" s="11" t="s">
        <v>200</v>
      </c>
      <c r="C55" s="15" t="s">
        <v>188</v>
      </c>
      <c r="D55" s="23" t="n">
        <v>3</v>
      </c>
      <c r="E55" s="18" t="n">
        <v>29.25</v>
      </c>
      <c r="F55" s="12" t="n">
        <f aca="false">IF(D55=0,0,E55/D55)</f>
        <v>9.75</v>
      </c>
      <c r="G55" s="24" t="n">
        <f aca="false">E55*$B$68</f>
        <v>8.775</v>
      </c>
      <c r="H55" s="12" t="n">
        <f aca="false">E55-G55</f>
        <v>20.475</v>
      </c>
      <c r="I55" s="25" t="n">
        <f aca="false">IF(E55=0,0,H55/E55)</f>
        <v>0.7</v>
      </c>
    </row>
    <row r="56" customFormat="false" ht="16.5" hidden="false" customHeight="true" outlineLevel="0" collapsed="false">
      <c r="A56" s="5" t="s">
        <v>110</v>
      </c>
      <c r="B56" s="5" t="s">
        <v>230</v>
      </c>
      <c r="C56" s="9" t="s">
        <v>188</v>
      </c>
      <c r="D56" s="20" t="n">
        <v>3</v>
      </c>
      <c r="E56" s="6" t="n">
        <v>43.5</v>
      </c>
      <c r="F56" s="16" t="n">
        <f aca="false">IF(D56=0,0,E56/D56)</f>
        <v>14.5</v>
      </c>
      <c r="G56" s="21" t="n">
        <f aca="false">E56*$B$68</f>
        <v>13.05</v>
      </c>
      <c r="H56" s="16" t="n">
        <f aca="false">E56-G56</f>
        <v>30.45</v>
      </c>
      <c r="I56" s="22" t="n">
        <f aca="false">IF(E56=0,0,H56/E56)</f>
        <v>0.7</v>
      </c>
    </row>
    <row r="57" customFormat="false" ht="16.5" hidden="false" customHeight="true" outlineLevel="0" collapsed="false">
      <c r="A57" s="11" t="s">
        <v>236</v>
      </c>
      <c r="B57" s="11" t="s">
        <v>230</v>
      </c>
      <c r="C57" s="15" t="s">
        <v>188</v>
      </c>
      <c r="D57" s="23" t="n">
        <v>3</v>
      </c>
      <c r="E57" s="18" t="n">
        <v>46.5</v>
      </c>
      <c r="F57" s="12" t="n">
        <f aca="false">IF(D57=0,0,E57/D57)</f>
        <v>15.5</v>
      </c>
      <c r="G57" s="24" t="n">
        <f aca="false">E57*$B$68</f>
        <v>13.95</v>
      </c>
      <c r="H57" s="12" t="n">
        <f aca="false">E57-G57</f>
        <v>32.55</v>
      </c>
      <c r="I57" s="25" t="n">
        <f aca="false">IF(E57=0,0,H57/E57)</f>
        <v>0.7</v>
      </c>
    </row>
    <row r="58" customFormat="false" ht="16.5" hidden="false" customHeight="true" outlineLevel="0" collapsed="false">
      <c r="A58" s="5" t="s">
        <v>237</v>
      </c>
      <c r="B58" s="5" t="s">
        <v>190</v>
      </c>
      <c r="C58" s="9" t="s">
        <v>188</v>
      </c>
      <c r="D58" s="20" t="n">
        <v>2</v>
      </c>
      <c r="E58" s="6" t="n">
        <v>10</v>
      </c>
      <c r="F58" s="16" t="n">
        <f aca="false">IF(D58=0,0,E58/D58)</f>
        <v>5</v>
      </c>
      <c r="G58" s="21" t="n">
        <f aca="false">E58*$B$68</f>
        <v>3</v>
      </c>
      <c r="H58" s="16" t="n">
        <f aca="false">E58-G58</f>
        <v>7</v>
      </c>
      <c r="I58" s="22" t="n">
        <f aca="false">IF(E58=0,0,H58/E58)</f>
        <v>0.7</v>
      </c>
    </row>
    <row r="59" customFormat="false" ht="16.5" hidden="false" customHeight="true" outlineLevel="0" collapsed="false">
      <c r="A59" s="11" t="s">
        <v>238</v>
      </c>
      <c r="B59" s="11" t="s">
        <v>190</v>
      </c>
      <c r="C59" s="15" t="s">
        <v>188</v>
      </c>
      <c r="D59" s="23" t="n">
        <v>2</v>
      </c>
      <c r="E59" s="18" t="n">
        <v>23</v>
      </c>
      <c r="F59" s="12" t="n">
        <f aca="false">IF(D59=0,0,E59/D59)</f>
        <v>11.5</v>
      </c>
      <c r="G59" s="24" t="n">
        <f aca="false">E59*$B$68</f>
        <v>6.9</v>
      </c>
      <c r="H59" s="12" t="n">
        <f aca="false">E59-G59</f>
        <v>16.1</v>
      </c>
      <c r="I59" s="25" t="n">
        <f aca="false">IF(E59=0,0,H59/E59)</f>
        <v>0.7</v>
      </c>
    </row>
    <row r="60" customFormat="false" ht="16.5" hidden="false" customHeight="true" outlineLevel="0" collapsed="false">
      <c r="A60" s="5" t="s">
        <v>239</v>
      </c>
      <c r="B60" s="5" t="s">
        <v>195</v>
      </c>
      <c r="C60" s="9" t="s">
        <v>180</v>
      </c>
      <c r="D60" s="20" t="n">
        <v>2</v>
      </c>
      <c r="E60" s="6" t="n">
        <v>16</v>
      </c>
      <c r="F60" s="16" t="n">
        <f aca="false">IF(D60=0,0,E60/D60)</f>
        <v>8</v>
      </c>
      <c r="G60" s="21" t="n">
        <f aca="false">E60*$B$67</f>
        <v>1.92</v>
      </c>
      <c r="H60" s="16" t="n">
        <f aca="false">E60-G60</f>
        <v>14.08</v>
      </c>
      <c r="I60" s="22" t="n">
        <f aca="false">IF(E60=0,0,H60/E60)</f>
        <v>0.88</v>
      </c>
    </row>
    <row r="61" customFormat="false" ht="16.5" hidden="false" customHeight="true" outlineLevel="0" collapsed="false">
      <c r="A61" s="11" t="s">
        <v>240</v>
      </c>
      <c r="B61" s="11" t="s">
        <v>190</v>
      </c>
      <c r="C61" s="15" t="s">
        <v>188</v>
      </c>
      <c r="D61" s="23" t="n">
        <v>1</v>
      </c>
      <c r="E61" s="18" t="n">
        <v>10.25</v>
      </c>
      <c r="F61" s="12" t="n">
        <f aca="false">IF(D61=0,0,E61/D61)</f>
        <v>10.25</v>
      </c>
      <c r="G61" s="24" t="n">
        <f aca="false">E61*$B$68</f>
        <v>3.075</v>
      </c>
      <c r="H61" s="12" t="n">
        <f aca="false">E61-G61</f>
        <v>7.175</v>
      </c>
      <c r="I61" s="25" t="n">
        <f aca="false">IF(E61=0,0,H61/E61)</f>
        <v>0.7</v>
      </c>
    </row>
    <row r="62" customFormat="false" ht="16.5" hidden="false" customHeight="true" outlineLevel="0" collapsed="false">
      <c r="A62" s="5" t="s">
        <v>241</v>
      </c>
      <c r="B62" s="5" t="s">
        <v>190</v>
      </c>
      <c r="C62" s="9" t="s">
        <v>188</v>
      </c>
      <c r="D62" s="20" t="n">
        <v>1</v>
      </c>
      <c r="E62" s="6" t="n">
        <v>9.75</v>
      </c>
      <c r="F62" s="16" t="n">
        <f aca="false">IF(D62=0,0,E62/D62)</f>
        <v>9.75</v>
      </c>
      <c r="G62" s="21" t="n">
        <f aca="false">E62*$B$68</f>
        <v>2.925</v>
      </c>
      <c r="H62" s="16" t="n">
        <f aca="false">E62-G62</f>
        <v>6.825</v>
      </c>
      <c r="I62" s="22" t="n">
        <f aca="false">IF(E62=0,0,H62/E62)</f>
        <v>0.7</v>
      </c>
    </row>
    <row r="63" customFormat="false" ht="16.5" hidden="false" customHeight="true" outlineLevel="0" collapsed="false">
      <c r="A63" s="11" t="s">
        <v>242</v>
      </c>
      <c r="B63" s="11" t="s">
        <v>243</v>
      </c>
      <c r="C63" s="15" t="s">
        <v>244</v>
      </c>
      <c r="D63" s="23" t="n">
        <v>1</v>
      </c>
      <c r="E63" s="18" t="n">
        <v>3.75</v>
      </c>
      <c r="F63" s="12" t="n">
        <f aca="false">IF(D63=0,0,E63/D63)</f>
        <v>3.75</v>
      </c>
      <c r="G63" s="24" t="n">
        <f aca="false">E63*$B$69</f>
        <v>0.1875</v>
      </c>
      <c r="H63" s="12" t="n">
        <f aca="false">E63-G63</f>
        <v>3.5625</v>
      </c>
      <c r="I63" s="25" t="n">
        <f aca="false">IF(E63=0,0,H63/E63)</f>
        <v>0.95</v>
      </c>
    </row>
    <row r="64" customFormat="false" ht="21.75" hidden="false" customHeight="true" outlineLevel="0" collapsed="false">
      <c r="A64" s="26" t="s">
        <v>245</v>
      </c>
      <c r="B64" s="26"/>
      <c r="C64" s="26"/>
      <c r="D64" s="27" t="n">
        <f aca="false">SUM(D4:D63)</f>
        <v>1241</v>
      </c>
      <c r="E64" s="28" t="n">
        <f aca="false">SUM(E4:E63)</f>
        <v>8713.48</v>
      </c>
      <c r="F64" s="28" t="n">
        <f aca="false">SUM(F4:F63)</f>
        <v>460.33112381366</v>
      </c>
      <c r="G64" s="28" t="n">
        <f aca="false">SUM(G4:G63)</f>
        <v>1621.6161</v>
      </c>
      <c r="H64" s="28" t="n">
        <f aca="false">SUM(H4:H63)</f>
        <v>7091.8639</v>
      </c>
      <c r="I64" s="29" t="n">
        <f aca="false">IF(E64=0,0,H64/E64)</f>
        <v>0.81389569953681</v>
      </c>
    </row>
    <row r="66" customFormat="false" ht="19.5" hidden="false" customHeight="true" outlineLevel="0" collapsed="false">
      <c r="A66" s="30" t="s">
        <v>246</v>
      </c>
      <c r="B66" s="30"/>
      <c r="C66" s="30"/>
    </row>
    <row r="67" customFormat="false" ht="16.5" hidden="false" customHeight="true" outlineLevel="0" collapsed="false">
      <c r="A67" s="31" t="s">
        <v>247</v>
      </c>
      <c r="B67" s="32" t="n">
        <v>0.12</v>
      </c>
    </row>
    <row r="68" customFormat="false" ht="16.5" hidden="false" customHeight="true" outlineLevel="0" collapsed="false">
      <c r="A68" s="31" t="s">
        <v>248</v>
      </c>
      <c r="B68" s="32" t="n">
        <v>0.3</v>
      </c>
    </row>
    <row r="69" customFormat="false" ht="16.5" hidden="false" customHeight="true" outlineLevel="0" collapsed="false">
      <c r="A69" s="31" t="s">
        <v>249</v>
      </c>
      <c r="B69" s="32" t="n">
        <v>0.05</v>
      </c>
    </row>
  </sheetData>
  <mergeCells count="4">
    <mergeCell ref="A1:I1"/>
    <mergeCell ref="A2:I2"/>
    <mergeCell ref="A64:C64"/>
    <mergeCell ref="A66:C6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16"/>
  </cols>
  <sheetData>
    <row r="1" customFormat="false" ht="31.5" hidden="false" customHeight="true" outlineLevel="0" collapsed="false">
      <c r="A1" s="1" t="s">
        <v>250</v>
      </c>
      <c r="B1" s="1"/>
      <c r="C1" s="1"/>
      <c r="D1" s="1"/>
    </row>
    <row r="2" customFormat="false" ht="19.5" hidden="false" customHeight="true" outlineLevel="0" collapsed="false">
      <c r="A2" s="2" t="s">
        <v>251</v>
      </c>
      <c r="B2" s="2"/>
      <c r="C2" s="2"/>
      <c r="D2" s="2"/>
    </row>
    <row r="3" customFormat="false" ht="21.75" hidden="false" customHeight="true" outlineLevel="0" collapsed="false">
      <c r="A3" s="3" t="s">
        <v>5</v>
      </c>
      <c r="B3" s="3" t="s">
        <v>252</v>
      </c>
      <c r="C3" s="3" t="s">
        <v>174</v>
      </c>
      <c r="D3" s="3" t="s">
        <v>253</v>
      </c>
    </row>
    <row r="4" customFormat="false" ht="18" hidden="false" customHeight="true" outlineLevel="0" collapsed="false">
      <c r="A4" s="5" t="s">
        <v>190</v>
      </c>
      <c r="B4" s="22" t="n">
        <f aca="false">IF(C15=0,0,C4/C15)</f>
        <v>0.113071929929259</v>
      </c>
      <c r="C4" s="21" t="n">
        <f aca="false">SUMIF(Toast_Revenue!B:B,A4,Toast_Revenue!E:E)</f>
        <v>985.25</v>
      </c>
      <c r="D4" s="21" t="n">
        <f aca="false">SUMIF(Toast_Revenue!B:B,A4,Toast_Revenue!H:H)</f>
        <v>689.675</v>
      </c>
    </row>
    <row r="5" customFormat="false" ht="18" hidden="false" customHeight="true" outlineLevel="0" collapsed="false">
      <c r="A5" s="11" t="s">
        <v>180</v>
      </c>
      <c r="B5" s="25" t="n">
        <f aca="false">IF(C15=0,0,C5/C15)</f>
        <v>0.499069258206824</v>
      </c>
      <c r="C5" s="24" t="n">
        <f aca="false">SUMIF(Toast_Revenue!B:B,A5,Toast_Revenue!E:E)</f>
        <v>4348.63</v>
      </c>
      <c r="D5" s="24" t="n">
        <f aca="false">SUMIF(Toast_Revenue!B:B,A5,Toast_Revenue!H:H)</f>
        <v>3826.7944</v>
      </c>
    </row>
    <row r="6" customFormat="false" ht="18" hidden="false" customHeight="true" outlineLevel="0" collapsed="false">
      <c r="A6" s="5" t="s">
        <v>230</v>
      </c>
      <c r="B6" s="22" t="n">
        <f aca="false">IF(C15=0,0,C6/C15)</f>
        <v>0.0309864715360568</v>
      </c>
      <c r="C6" s="21" t="n">
        <f aca="false">SUMIF(Toast_Revenue!B:B,A6,Toast_Revenue!E:E)</f>
        <v>270</v>
      </c>
      <c r="D6" s="21" t="n">
        <f aca="false">SUMIF(Toast_Revenue!B:B,A6,Toast_Revenue!H:H)</f>
        <v>189</v>
      </c>
    </row>
    <row r="7" customFormat="false" ht="18" hidden="false" customHeight="true" outlineLevel="0" collapsed="false">
      <c r="A7" s="11" t="s">
        <v>243</v>
      </c>
      <c r="B7" s="25" t="n">
        <f aca="false">IF(C15=0,0,C7/C15)</f>
        <v>0.000430367660223011</v>
      </c>
      <c r="C7" s="24" t="n">
        <f aca="false">SUMIF(Toast_Revenue!B:B,A7,Toast_Revenue!E:E)</f>
        <v>3.75</v>
      </c>
      <c r="D7" s="24" t="n">
        <f aca="false">SUMIF(Toast_Revenue!B:B,A7,Toast_Revenue!H:H)</f>
        <v>3.5625</v>
      </c>
    </row>
    <row r="8" customFormat="false" ht="18" hidden="false" customHeight="true" outlineLevel="0" collapsed="false">
      <c r="A8" s="5" t="s">
        <v>187</v>
      </c>
      <c r="B8" s="22" t="n">
        <f aca="false">IF(C15=0,0,C8/C15)</f>
        <v>0.0360074275719919</v>
      </c>
      <c r="C8" s="21" t="n">
        <f aca="false">SUMIF(Toast_Revenue!B:B,A8,Toast_Revenue!E:E)</f>
        <v>313.75</v>
      </c>
      <c r="D8" s="21" t="n">
        <f aca="false">SUMIF(Toast_Revenue!B:B,A8,Toast_Revenue!H:H)</f>
        <v>219.625</v>
      </c>
    </row>
    <row r="9" customFormat="false" ht="18" hidden="false" customHeight="true" outlineLevel="0" collapsed="false">
      <c r="A9" s="11" t="s">
        <v>206</v>
      </c>
      <c r="B9" s="25" t="n">
        <f aca="false">IF(C15=0,0,C9/C15)</f>
        <v>0.0963105441224402</v>
      </c>
      <c r="C9" s="24" t="n">
        <f aca="false">SUMIF(Toast_Revenue!B:B,A9,Toast_Revenue!E:E)</f>
        <v>839.2</v>
      </c>
      <c r="D9" s="24" t="n">
        <f aca="false">SUMIF(Toast_Revenue!B:B,A9,Toast_Revenue!H:H)</f>
        <v>587.44</v>
      </c>
    </row>
    <row r="10" customFormat="false" ht="18" hidden="false" customHeight="true" outlineLevel="0" collapsed="false">
      <c r="A10" s="5" t="s">
        <v>217</v>
      </c>
      <c r="B10" s="22" t="n">
        <f aca="false">IF(C15=0,0,C10/C15)</f>
        <v>0.0230963977653016</v>
      </c>
      <c r="C10" s="21" t="n">
        <f aca="false">SUMIF(Toast_Revenue!B:B,A10,Toast_Revenue!E:E)</f>
        <v>201.25</v>
      </c>
      <c r="D10" s="21" t="n">
        <f aca="false">SUMIF(Toast_Revenue!B:B,A10,Toast_Revenue!H:H)</f>
        <v>140.875</v>
      </c>
    </row>
    <row r="11" customFormat="false" ht="18" hidden="false" customHeight="true" outlineLevel="0" collapsed="false">
      <c r="A11" s="11" t="s">
        <v>195</v>
      </c>
      <c r="B11" s="25" t="n">
        <f aca="false">IF(C15=0,0,C11/C15)</f>
        <v>0.133086895247364</v>
      </c>
      <c r="C11" s="24" t="n">
        <f aca="false">SUMIF(Toast_Revenue!B:B,A11,Toast_Revenue!E:E)</f>
        <v>1159.65</v>
      </c>
      <c r="D11" s="24" t="n">
        <f aca="false">SUMIF(Toast_Revenue!B:B,A11,Toast_Revenue!H:H)</f>
        <v>1020.492</v>
      </c>
    </row>
    <row r="12" customFormat="false" ht="18" hidden="false" customHeight="true" outlineLevel="0" collapsed="false">
      <c r="A12" s="5" t="s">
        <v>213</v>
      </c>
      <c r="B12" s="22" t="n">
        <f aca="false">IF(C15=0,0,C12/C15)</f>
        <v>0.0272279273034425</v>
      </c>
      <c r="C12" s="21" t="n">
        <f aca="false">SUMIF(Toast_Revenue!B:B,A12,Toast_Revenue!E:E)</f>
        <v>237.25</v>
      </c>
      <c r="D12" s="21" t="n">
        <f aca="false">SUMIF(Toast_Revenue!B:B,A12,Toast_Revenue!H:H)</f>
        <v>166.075</v>
      </c>
    </row>
    <row r="13" customFormat="false" ht="18" hidden="false" customHeight="true" outlineLevel="0" collapsed="false">
      <c r="A13" s="11" t="s">
        <v>223</v>
      </c>
      <c r="B13" s="25" t="n">
        <f aca="false">IF(C15=0,0,C13/C15)</f>
        <v>0.0184197358575449</v>
      </c>
      <c r="C13" s="24" t="n">
        <f aca="false">SUMIF(Toast_Revenue!B:B,A13,Toast_Revenue!E:E)</f>
        <v>160.5</v>
      </c>
      <c r="D13" s="24" t="n">
        <f aca="false">SUMIF(Toast_Revenue!B:B,A13,Toast_Revenue!H:H)</f>
        <v>112.35</v>
      </c>
    </row>
    <row r="14" customFormat="false" ht="18" hidden="false" customHeight="true" outlineLevel="0" collapsed="false">
      <c r="A14" s="5" t="s">
        <v>200</v>
      </c>
      <c r="B14" s="22" t="n">
        <f aca="false">IF(C15=0,0,C14/C15)</f>
        <v>0.022293044799552</v>
      </c>
      <c r="C14" s="21" t="n">
        <f aca="false">SUMIF(Toast_Revenue!B:B,A14,Toast_Revenue!E:E)</f>
        <v>194.25</v>
      </c>
      <c r="D14" s="21" t="n">
        <f aca="false">SUMIF(Toast_Revenue!B:B,A14,Toast_Revenue!H:H)</f>
        <v>135.975</v>
      </c>
    </row>
    <row r="15" customFormat="false" ht="21.75" hidden="false" customHeight="true" outlineLevel="0" collapsed="false">
      <c r="A15" s="33" t="s">
        <v>245</v>
      </c>
      <c r="B15" s="29" t="n">
        <f aca="false">SUM(B4:B14)</f>
        <v>1</v>
      </c>
      <c r="C15" s="28" t="n">
        <f aca="false">SUM(C4:C14)</f>
        <v>8713.48</v>
      </c>
      <c r="D15" s="28" t="n">
        <f aca="false">SUM(D4:D14)</f>
        <v>7091.8639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2026-03-20T06:10:22Z</dcterms:created>
  <dc:creator>openpyxl</dc:creator>
  <dc:description/>
  <dc:language>en-US</dc:language>
  <cp:lastModifiedBy/>
  <dcterms:modified xsi:type="dcterms:W3CDTF">2026-03-20T06:10:22Z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